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MSIV\.codex\worktrees\calcy-spreadsheet-phase1\rate-finder-plus\outputs\spreadsheet-phase1\"/>
    </mc:Choice>
  </mc:AlternateContent>
  <xr:revisionPtr revIDLastSave="0" documentId="13_ncr:1_{017B8ACA-C91A-448A-9A64-923D5A82FD8A}" xr6:coauthVersionLast="47" xr6:coauthVersionMax="47" xr10:uidLastSave="{00000000-0000-0000-0000-000000000000}"/>
  <bookViews>
    <workbookView xWindow="-103" yWindow="-103" windowWidth="22149" windowHeight="13200" xr2:uid="{00000000-000D-0000-FFFF-FFFF00000000}"/>
  </bookViews>
  <sheets>
    <sheet name="Dashboard" sheetId="1" r:id="rId1"/>
    <sheet name="Loan Inputs" sheetId="2" r:id="rId2"/>
    <sheet name="Extra Repayment Scenarios" sheetId="3" r:id="rId3"/>
    <sheet name="Repayment Schedule" sheetId="4" r:id="rId4"/>
    <sheet name="Annual Summary" sheetId="5" r:id="rId5"/>
    <sheet name="Charts" sheetId="6" r:id="rId6"/>
    <sheet name="Instructions" sheetId="7" r:id="rId7"/>
  </sheets>
  <definedNames>
    <definedName name="ChartBalance">OFFSET(Charts!$B$41,0,0,MAX(1,ROUNDUP(Dashboard!$B$13/'Loan Inputs'!$B$14,0)),1)</definedName>
    <definedName name="ChartInterest">OFFSET(Charts!$D$41,0,0,MAX(1,ROUNDUP(Dashboard!$B$13/'Loan Inputs'!$B$14,0)),1)</definedName>
    <definedName name="ChartPrincipal">OFFSET(Charts!$C$41,0,0,MAX(1,ROUNDUP(Dashboard!$B$13/'Loan Inputs'!$B$14,0)),1)</definedName>
    <definedName name="ChartYears">OFFSET(Charts!$A$41,0,0,MAX(1,ROUNDUP(Dashboard!$B$13/'Loan Inputs'!$B$14,0)),1)</definedName>
    <definedName name="_xlnm.Print_Area" localSheetId="4">'Annual Summary'!$A$1:$G$46</definedName>
    <definedName name="_xlnm.Print_Area" localSheetId="5">Charts!$A$1:$H$36</definedName>
    <definedName name="_xlnm.Print_Area" localSheetId="0">Dashboard!$A$1:$H$28</definedName>
    <definedName name="_xlnm.Print_Area" localSheetId="2">'Extra Repayment Scenarios'!$A$1:$H$18</definedName>
    <definedName name="_xlnm.Print_Area" localSheetId="6">Instructions!$A$1:$H$32</definedName>
    <definedName name="_xlnm.Print_Area" localSheetId="1">'Loan Inputs'!$A$1:$H$28</definedName>
    <definedName name="_xlnm.Print_Area" localSheetId="3">OFFSET('Repayment Schedule'!$A$1,0,0,MAX(7,Dashboard!$B$13+6),8)</definedName>
    <definedName name="_xlnm.Print_Titles" localSheetId="4">'Annual Summary'!$1:$6</definedName>
    <definedName name="_xlnm.Print_Titles" localSheetId="3">'Repayment Schedule'!$1:$6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4" i="2" l="1"/>
  <c r="B12" i="2"/>
  <c r="B18" i="2" l="1"/>
  <c r="B12" i="3" s="1"/>
  <c r="A4" i="1"/>
  <c r="C12" i="2"/>
  <c r="B16" i="2"/>
  <c r="B15" i="2"/>
  <c r="A7" i="4"/>
  <c r="B17" i="2" l="1"/>
  <c r="C9" i="3" s="1"/>
  <c r="B7" i="4"/>
  <c r="C7" i="4"/>
  <c r="E7" i="4" s="1"/>
  <c r="C7" i="3" l="1"/>
  <c r="C12" i="3"/>
  <c r="F12" i="3" s="1"/>
  <c r="B15" i="1" s="1"/>
  <c r="B16" i="1" s="1"/>
  <c r="C10" i="3"/>
  <c r="C11" i="3"/>
  <c r="G11" i="3" s="1"/>
  <c r="C8" i="3"/>
  <c r="D8" i="3" s="1"/>
  <c r="B7" i="1"/>
  <c r="H7" i="3"/>
  <c r="G7" i="3"/>
  <c r="F7" i="3"/>
  <c r="D7" i="3"/>
  <c r="F10" i="3"/>
  <c r="F9" i="3"/>
  <c r="G9" i="3"/>
  <c r="D9" i="3"/>
  <c r="H9" i="3"/>
  <c r="H12" i="3"/>
  <c r="G12" i="3"/>
  <c r="D12" i="3"/>
  <c r="H7" i="4"/>
  <c r="H10" i="3"/>
  <c r="G10" i="3"/>
  <c r="D10" i="3"/>
  <c r="G8" i="3"/>
  <c r="F8" i="3" l="1"/>
  <c r="D11" i="3"/>
  <c r="E11" i="3" s="1"/>
  <c r="H11" i="3"/>
  <c r="F11" i="3"/>
  <c r="H8" i="3"/>
  <c r="D7" i="4"/>
  <c r="E7" i="3"/>
  <c r="E8" i="3"/>
  <c r="E12" i="3"/>
  <c r="B14" i="1" s="1"/>
  <c r="E10" i="3"/>
  <c r="E9" i="3"/>
  <c r="F7" i="4" l="1"/>
  <c r="G7" i="4" l="1"/>
  <c r="A8" i="4" s="1"/>
  <c r="C8" i="4" l="1"/>
  <c r="E8" i="4" s="1"/>
  <c r="B8" i="4"/>
  <c r="H8" i="4" l="1"/>
  <c r="D8" i="4" s="1"/>
  <c r="F8" i="4" l="1"/>
  <c r="G8" i="4" l="1"/>
  <c r="A9" i="4" s="1"/>
  <c r="C9" i="4" l="1"/>
  <c r="E9" i="4" s="1"/>
  <c r="B9" i="4"/>
  <c r="H9" i="4" l="1"/>
  <c r="D9" i="4" l="1"/>
  <c r="F9" i="4" l="1"/>
  <c r="G9" i="4" l="1"/>
  <c r="A10" i="4" s="1"/>
  <c r="B10" i="4" l="1"/>
  <c r="C10" i="4"/>
  <c r="E10" i="4" l="1"/>
  <c r="H10" i="4" l="1"/>
  <c r="D10" i="4" s="1"/>
  <c r="F10" i="4" l="1"/>
  <c r="G10" i="4" l="1"/>
  <c r="A11" i="4" s="1"/>
  <c r="C11" i="4" l="1"/>
  <c r="E11" i="4" s="1"/>
  <c r="H11" i="4" s="1"/>
  <c r="B11" i="4"/>
  <c r="D11" i="4" l="1"/>
  <c r="F11" i="4" l="1"/>
  <c r="G11" i="4" l="1"/>
  <c r="A12" i="4" s="1"/>
  <c r="B12" i="4" l="1"/>
  <c r="C12" i="4"/>
  <c r="E12" i="4" s="1"/>
  <c r="H12" i="4" s="1"/>
  <c r="D12" i="4" l="1"/>
  <c r="F12" i="4" s="1"/>
  <c r="G12" i="4" s="1"/>
  <c r="A13" i="4" s="1"/>
  <c r="B13" i="4" l="1"/>
  <c r="C13" i="4"/>
  <c r="E13" i="4" l="1"/>
  <c r="H13" i="4" s="1"/>
  <c r="D13" i="4" l="1"/>
  <c r="F13" i="4" s="1"/>
  <c r="G13" i="4" s="1"/>
  <c r="A14" i="4" s="1"/>
  <c r="C14" i="4" s="1"/>
  <c r="B14" i="4" l="1"/>
  <c r="E14" i="4"/>
  <c r="H14" i="4" s="1"/>
  <c r="D14" i="4" s="1"/>
  <c r="F14" i="4" s="1"/>
  <c r="G14" i="4" s="1"/>
  <c r="A15" i="4" s="1"/>
  <c r="C15" i="4" l="1"/>
  <c r="B15" i="4"/>
  <c r="E15" i="4" l="1"/>
  <c r="H15" i="4" s="1"/>
  <c r="D15" i="4" l="1"/>
  <c r="F15" i="4" s="1"/>
  <c r="G15" i="4" s="1"/>
  <c r="A16" i="4" s="1"/>
  <c r="B16" i="4" l="1"/>
  <c r="C16" i="4"/>
  <c r="E16" i="4" l="1"/>
  <c r="H16" i="4" l="1"/>
  <c r="D16" i="4" s="1"/>
  <c r="F16" i="4" s="1"/>
  <c r="G16" i="4" s="1"/>
  <c r="A17" i="4" s="1"/>
  <c r="B17" i="4" l="1"/>
  <c r="C17" i="4"/>
  <c r="E17" i="4" l="1"/>
  <c r="H17" i="4" s="1"/>
  <c r="D17" i="4" s="1"/>
  <c r="F17" i="4" s="1"/>
  <c r="G17" i="4" s="1"/>
  <c r="A18" i="4" s="1"/>
  <c r="C18" i="4" l="1"/>
  <c r="B18" i="4"/>
  <c r="E18" i="4" l="1"/>
  <c r="H18" i="4" s="1"/>
  <c r="D18" i="4" l="1"/>
  <c r="F18" i="4" s="1"/>
  <c r="G18" i="4" s="1"/>
  <c r="A19" i="4" s="1"/>
  <c r="B19" i="4" s="1"/>
  <c r="C19" i="4" l="1"/>
  <c r="E19" i="4" s="1"/>
  <c r="H19" i="4" l="1"/>
  <c r="D19" i="4" s="1"/>
  <c r="F19" i="4" s="1"/>
  <c r="G19" i="4" s="1"/>
  <c r="A20" i="4" s="1"/>
  <c r="C20" i="4" l="1"/>
  <c r="E20" i="4" s="1"/>
  <c r="B20" i="4"/>
  <c r="H20" i="4" l="1"/>
  <c r="D20" i="4" s="1"/>
  <c r="F20" i="4" s="1"/>
  <c r="G20" i="4" s="1"/>
  <c r="A21" i="4" s="1"/>
  <c r="C21" i="4" l="1"/>
  <c r="B21" i="4"/>
  <c r="E21" i="4" l="1"/>
  <c r="H21" i="4" s="1"/>
  <c r="D21" i="4" l="1"/>
  <c r="F21" i="4" s="1"/>
  <c r="G21" i="4" s="1"/>
  <c r="A22" i="4" s="1"/>
  <c r="B22" i="4" l="1"/>
  <c r="C22" i="4"/>
  <c r="E22" i="4" s="1"/>
  <c r="H22" i="4" l="1"/>
  <c r="D22" i="4" s="1"/>
  <c r="F22" i="4" s="1"/>
  <c r="G22" i="4" s="1"/>
  <c r="A23" i="4" s="1"/>
  <c r="C23" i="4" l="1"/>
  <c r="B23" i="4"/>
  <c r="E23" i="4" l="1"/>
  <c r="H23" i="4" l="1"/>
  <c r="D23" i="4" s="1"/>
  <c r="F23" i="4" s="1"/>
  <c r="G23" i="4" s="1"/>
  <c r="A24" i="4" s="1"/>
  <c r="B24" i="4" l="1"/>
  <c r="C24" i="4"/>
  <c r="E24" i="4" s="1"/>
  <c r="H24" i="4" s="1"/>
  <c r="D24" i="4" l="1"/>
  <c r="F24" i="4" s="1"/>
  <c r="G24" i="4" s="1"/>
  <c r="A25" i="4" s="1"/>
  <c r="B25" i="4" l="1"/>
  <c r="C25" i="4"/>
  <c r="E25" i="4" s="1"/>
  <c r="H25" i="4" l="1"/>
  <c r="D25" i="4" s="1"/>
  <c r="F25" i="4" s="1"/>
  <c r="G25" i="4" s="1"/>
  <c r="A26" i="4" s="1"/>
  <c r="C26" i="4" s="1"/>
  <c r="B26" i="4" l="1"/>
  <c r="E26" i="4"/>
  <c r="H26" i="4" s="1"/>
  <c r="D26" i="4" s="1"/>
  <c r="F26" i="4" s="1"/>
  <c r="G26" i="4" s="1"/>
  <c r="A27" i="4" s="1"/>
  <c r="B27" i="4" l="1"/>
  <c r="C27" i="4"/>
  <c r="E27" i="4" l="1"/>
  <c r="H27" i="4" l="1"/>
  <c r="D27" i="4" s="1"/>
  <c r="F27" i="4" s="1"/>
  <c r="G27" i="4" s="1"/>
  <c r="A28" i="4" s="1"/>
  <c r="B28" i="4" l="1"/>
  <c r="C28" i="4"/>
  <c r="E28" i="4" l="1"/>
  <c r="H28" i="4" s="1"/>
  <c r="D28" i="4" s="1"/>
  <c r="F28" i="4" s="1"/>
  <c r="G28" i="4" s="1"/>
  <c r="A29" i="4" s="1"/>
  <c r="B29" i="4" l="1"/>
  <c r="C29" i="4"/>
  <c r="E29" i="4" l="1"/>
  <c r="H29" i="4" s="1"/>
  <c r="D29" i="4" l="1"/>
  <c r="F29" i="4" s="1"/>
  <c r="G29" i="4" s="1"/>
  <c r="A30" i="4" s="1"/>
  <c r="B30" i="4" l="1"/>
  <c r="C30" i="4"/>
  <c r="E30" i="4" l="1"/>
  <c r="H30" i="4" s="1"/>
  <c r="D30" i="4" l="1"/>
  <c r="F30" i="4" s="1"/>
  <c r="G30" i="4" s="1"/>
  <c r="A31" i="4" s="1"/>
  <c r="B31" i="4" l="1"/>
  <c r="C31" i="4"/>
  <c r="E31" i="4" l="1"/>
  <c r="H31" i="4" s="1"/>
  <c r="D31" i="4" l="1"/>
  <c r="F31" i="4" s="1"/>
  <c r="G31" i="4" s="1"/>
  <c r="A32" i="4" s="1"/>
  <c r="C32" i="4" l="1"/>
  <c r="B32" i="4"/>
  <c r="E32" i="4" l="1"/>
  <c r="H32" i="4" l="1"/>
  <c r="D32" i="4" s="1"/>
  <c r="F32" i="4" s="1"/>
  <c r="G32" i="4" s="1"/>
  <c r="A33" i="4" s="1"/>
  <c r="C33" i="4" l="1"/>
  <c r="E33" i="4" s="1"/>
  <c r="B33" i="4"/>
  <c r="H33" i="4" l="1"/>
  <c r="D33" i="4" s="1"/>
  <c r="F33" i="4" s="1"/>
  <c r="G33" i="4" s="1"/>
  <c r="A34" i="4" s="1"/>
  <c r="B34" i="4" l="1"/>
  <c r="C34" i="4"/>
  <c r="E34" i="4" l="1"/>
  <c r="H34" i="4" s="1"/>
  <c r="D34" i="4" l="1"/>
  <c r="F34" i="4" s="1"/>
  <c r="G34" i="4" s="1"/>
  <c r="A35" i="4" s="1"/>
  <c r="C35" i="4" l="1"/>
  <c r="E35" i="4" s="1"/>
  <c r="B35" i="4"/>
  <c r="H35" i="4" l="1"/>
  <c r="D35" i="4" s="1"/>
  <c r="F35" i="4" s="1"/>
  <c r="G35" i="4" s="1"/>
  <c r="A36" i="4" s="1"/>
  <c r="C36" i="4" s="1"/>
  <c r="B36" i="4" l="1"/>
  <c r="E36" i="4"/>
  <c r="H36" i="4" s="1"/>
  <c r="D36" i="4" s="1"/>
  <c r="F36" i="4" s="1"/>
  <c r="G36" i="4" s="1"/>
  <c r="A37" i="4" s="1"/>
  <c r="B37" i="4" s="1"/>
  <c r="C37" i="4" l="1"/>
  <c r="E37" i="4" s="1"/>
  <c r="H37" i="4" l="1"/>
  <c r="D37" i="4" s="1"/>
  <c r="F37" i="4" s="1"/>
  <c r="G37" i="4" s="1"/>
  <c r="A38" i="4" s="1"/>
  <c r="B38" i="4" l="1"/>
  <c r="C38" i="4"/>
  <c r="E38" i="4" l="1"/>
  <c r="H38" i="4" s="1"/>
  <c r="D38" i="4" l="1"/>
  <c r="F38" i="4" s="1"/>
  <c r="G38" i="4" s="1"/>
  <c r="A39" i="4" s="1"/>
  <c r="C39" i="4" l="1"/>
  <c r="B39" i="4"/>
  <c r="E39" i="4" l="1"/>
  <c r="H39" i="4" s="1"/>
  <c r="D39" i="4" l="1"/>
  <c r="F39" i="4" s="1"/>
  <c r="G39" i="4" s="1"/>
  <c r="A40" i="4" s="1"/>
  <c r="B40" i="4" l="1"/>
  <c r="C40" i="4"/>
  <c r="E40" i="4" l="1"/>
  <c r="H40" i="4" s="1"/>
  <c r="D40" i="4" s="1"/>
  <c r="F40" i="4" s="1"/>
  <c r="G40" i="4" s="1"/>
  <c r="A41" i="4" s="1"/>
  <c r="C41" i="4" l="1"/>
  <c r="B41" i="4"/>
  <c r="E41" i="4" l="1"/>
  <c r="H41" i="4" s="1"/>
  <c r="D41" i="4" l="1"/>
  <c r="F41" i="4" s="1"/>
  <c r="G41" i="4" s="1"/>
  <c r="A42" i="4" s="1"/>
  <c r="C42" i="4" l="1"/>
  <c r="B42" i="4"/>
  <c r="E42" i="4" l="1"/>
  <c r="H42" i="4" s="1"/>
  <c r="D42" i="4" l="1"/>
  <c r="F42" i="4" s="1"/>
  <c r="G42" i="4" s="1"/>
  <c r="A43" i="4" s="1"/>
  <c r="B43" i="4" l="1"/>
  <c r="C43" i="4"/>
  <c r="E43" i="4" s="1"/>
  <c r="H43" i="4" s="1"/>
  <c r="D43" i="4" s="1"/>
  <c r="F43" i="4" s="1"/>
  <c r="G43" i="4" s="1"/>
  <c r="A44" i="4" s="1"/>
  <c r="B44" i="4" l="1"/>
  <c r="C44" i="4"/>
  <c r="E44" i="4" s="1"/>
  <c r="H44" i="4" l="1"/>
  <c r="D44" i="4" s="1"/>
  <c r="F44" i="4" s="1"/>
  <c r="G44" i="4" s="1"/>
  <c r="A45" i="4" s="1"/>
  <c r="C45" i="4" l="1"/>
  <c r="E45" i="4" s="1"/>
  <c r="H45" i="4" s="1"/>
  <c r="D45" i="4" s="1"/>
  <c r="F45" i="4" s="1"/>
  <c r="B45" i="4"/>
  <c r="G45" i="4" l="1"/>
  <c r="A46" i="4" s="1"/>
  <c r="B46" i="4" l="1"/>
  <c r="C46" i="4"/>
  <c r="E46" i="4" l="1"/>
  <c r="H46" i="4" l="1"/>
  <c r="D46" i="4" s="1"/>
  <c r="F46" i="4" s="1"/>
  <c r="G46" i="4" s="1"/>
  <c r="A47" i="4" s="1"/>
  <c r="B47" i="4" l="1"/>
  <c r="C47" i="4"/>
  <c r="E47" i="4" s="1"/>
  <c r="H47" i="4" l="1"/>
  <c r="D47" i="4" s="1"/>
  <c r="F47" i="4" s="1"/>
  <c r="G47" i="4" s="1"/>
  <c r="A48" i="4" s="1"/>
  <c r="C48" i="4" l="1"/>
  <c r="E48" i="4" s="1"/>
  <c r="H48" i="4" s="1"/>
  <c r="B48" i="4"/>
  <c r="D48" i="4" l="1"/>
  <c r="F48" i="4" s="1"/>
  <c r="G48" i="4" s="1"/>
  <c r="A49" i="4" s="1"/>
  <c r="B49" i="4" l="1"/>
  <c r="C49" i="4"/>
  <c r="E49" i="4" s="1"/>
  <c r="H49" i="4" l="1"/>
  <c r="D49" i="4" s="1"/>
  <c r="F49" i="4" s="1"/>
  <c r="G49" i="4" s="1"/>
  <c r="A50" i="4" s="1"/>
  <c r="C50" i="4" l="1"/>
  <c r="B50" i="4"/>
  <c r="E50" i="4" l="1"/>
  <c r="H50" i="4" s="1"/>
  <c r="D50" i="4" s="1"/>
  <c r="F50" i="4" s="1"/>
  <c r="G50" i="4" s="1"/>
  <c r="A51" i="4" s="1"/>
  <c r="C51" i="4" l="1"/>
  <c r="E51" i="4" s="1"/>
  <c r="H51" i="4" s="1"/>
  <c r="D51" i="4" s="1"/>
  <c r="F51" i="4" s="1"/>
  <c r="G51" i="4" s="1"/>
  <c r="A52" i="4" s="1"/>
  <c r="B51" i="4"/>
  <c r="B52" i="4" l="1"/>
  <c r="C52" i="4"/>
  <c r="E52" i="4" l="1"/>
  <c r="H52" i="4" l="1"/>
  <c r="D52" i="4" s="1"/>
  <c r="F52" i="4" s="1"/>
  <c r="G52" i="4" s="1"/>
  <c r="A53" i="4" s="1"/>
  <c r="B53" i="4" l="1"/>
  <c r="C53" i="4"/>
  <c r="E53" i="4" s="1"/>
  <c r="H53" i="4" s="1"/>
  <c r="D53" i="4" s="1"/>
  <c r="F53" i="4" s="1"/>
  <c r="G53" i="4" s="1"/>
  <c r="A54" i="4" s="1"/>
  <c r="C54" i="4" l="1"/>
  <c r="E54" i="4" s="1"/>
  <c r="B54" i="4"/>
  <c r="H54" i="4" l="1"/>
  <c r="D54" i="4" s="1"/>
  <c r="F54" i="4" s="1"/>
  <c r="G54" i="4" s="1"/>
  <c r="A55" i="4" s="1"/>
  <c r="B55" i="4" s="1"/>
  <c r="C55" i="4" l="1"/>
  <c r="E55" i="4" s="1"/>
  <c r="H55" i="4" l="1"/>
  <c r="D55" i="4" s="1"/>
  <c r="F55" i="4" s="1"/>
  <c r="G55" i="4" s="1"/>
  <c r="A56" i="4" s="1"/>
  <c r="C56" i="4" s="1"/>
  <c r="E56" i="4" s="1"/>
  <c r="B56" i="4" l="1"/>
  <c r="H56" i="4"/>
  <c r="D56" i="4" s="1"/>
  <c r="F56" i="4" s="1"/>
  <c r="G56" i="4" s="1"/>
  <c r="A57" i="4" s="1"/>
  <c r="B57" i="4" l="1"/>
  <c r="C57" i="4"/>
  <c r="E57" i="4" l="1"/>
  <c r="H57" i="4" s="1"/>
  <c r="D57" i="4" s="1"/>
  <c r="F57" i="4" s="1"/>
  <c r="G57" i="4" s="1"/>
  <c r="A58" i="4" s="1"/>
  <c r="B58" i="4" l="1"/>
  <c r="C58" i="4"/>
  <c r="E58" i="4" s="1"/>
  <c r="H58" i="4" l="1"/>
  <c r="D58" i="4" s="1"/>
  <c r="F58" i="4" s="1"/>
  <c r="G58" i="4" s="1"/>
  <c r="A59" i="4" s="1"/>
  <c r="C59" i="4" l="1"/>
  <c r="E59" i="4" s="1"/>
  <c r="B59" i="4"/>
  <c r="H59" i="4" l="1"/>
  <c r="D59" i="4" s="1"/>
  <c r="F59" i="4" s="1"/>
  <c r="G59" i="4" s="1"/>
  <c r="A60" i="4" s="1"/>
  <c r="C60" i="4" l="1"/>
  <c r="E60" i="4" s="1"/>
  <c r="H60" i="4" s="1"/>
  <c r="D60" i="4" s="1"/>
  <c r="F60" i="4" s="1"/>
  <c r="B60" i="4"/>
  <c r="G60" i="4" l="1"/>
  <c r="A61" i="4" s="1"/>
  <c r="B61" i="4" s="1"/>
  <c r="C61" i="4" l="1"/>
  <c r="E61" i="4" s="1"/>
  <c r="H61" i="4" l="1"/>
  <c r="D61" i="4" s="1"/>
  <c r="F61" i="4" s="1"/>
  <c r="G61" i="4" s="1"/>
  <c r="A62" i="4" s="1"/>
  <c r="C62" i="4" l="1"/>
  <c r="E62" i="4" s="1"/>
  <c r="H62" i="4" s="1"/>
  <c r="B62" i="4"/>
  <c r="D62" i="4" l="1"/>
  <c r="F62" i="4" s="1"/>
  <c r="G62" i="4" s="1"/>
  <c r="A63" i="4" s="1"/>
  <c r="C63" i="4" l="1"/>
  <c r="E63" i="4" s="1"/>
  <c r="H63" i="4" s="1"/>
  <c r="B63" i="4"/>
  <c r="D63" i="4" l="1"/>
  <c r="F63" i="4" s="1"/>
  <c r="G63" i="4" s="1"/>
  <c r="A64" i="4" s="1"/>
  <c r="B64" i="4" s="1"/>
  <c r="C64" i="4" l="1"/>
  <c r="E64" i="4" s="1"/>
  <c r="H64" i="4" s="1"/>
  <c r="D64" i="4" l="1"/>
  <c r="F64" i="4" s="1"/>
  <c r="G64" i="4" s="1"/>
  <c r="A65" i="4" s="1"/>
  <c r="C65" i="4" s="1"/>
  <c r="B65" i="4" l="1"/>
  <c r="E65" i="4"/>
  <c r="H65" i="4" s="1"/>
  <c r="D65" i="4" l="1"/>
  <c r="F65" i="4" s="1"/>
  <c r="G65" i="4" s="1"/>
  <c r="A66" i="4" s="1"/>
  <c r="C66" i="4" l="1"/>
  <c r="E66" i="4" s="1"/>
  <c r="B66" i="4"/>
  <c r="H66" i="4" l="1"/>
  <c r="D66" i="4" s="1"/>
  <c r="F66" i="4" s="1"/>
  <c r="G66" i="4" s="1"/>
  <c r="A67" i="4" s="1"/>
  <c r="B67" i="4" l="1"/>
  <c r="C67" i="4"/>
  <c r="E67" i="4" s="1"/>
  <c r="H67" i="4" s="1"/>
  <c r="D67" i="4" l="1"/>
  <c r="F67" i="4" s="1"/>
  <c r="G67" i="4" s="1"/>
  <c r="A68" i="4" s="1"/>
  <c r="B68" i="4" l="1"/>
  <c r="C68" i="4"/>
  <c r="E68" i="4" l="1"/>
  <c r="H68" i="4" l="1"/>
  <c r="D68" i="4" s="1"/>
  <c r="F68" i="4" s="1"/>
  <c r="G68" i="4" s="1"/>
  <c r="A69" i="4" s="1"/>
  <c r="C69" i="4" l="1"/>
  <c r="E69" i="4" s="1"/>
  <c r="B69" i="4"/>
  <c r="H69" i="4" l="1"/>
  <c r="D69" i="4" s="1"/>
  <c r="F69" i="4" s="1"/>
  <c r="G69" i="4" s="1"/>
  <c r="A70" i="4" s="1"/>
  <c r="B70" i="4" l="1"/>
  <c r="C70" i="4"/>
  <c r="E70" i="4" s="1"/>
  <c r="H70" i="4" s="1"/>
  <c r="D70" i="4" s="1"/>
  <c r="F70" i="4" s="1"/>
  <c r="G70" i="4" s="1"/>
  <c r="A71" i="4" s="1"/>
  <c r="C71" i="4" l="1"/>
  <c r="E71" i="4" s="1"/>
  <c r="H71" i="4" s="1"/>
  <c r="B71" i="4"/>
  <c r="D71" i="4" l="1"/>
  <c r="F71" i="4" s="1"/>
  <c r="G71" i="4" s="1"/>
  <c r="A72" i="4" s="1"/>
  <c r="C72" i="4" l="1"/>
  <c r="E72" i="4" s="1"/>
  <c r="B72" i="4"/>
  <c r="H72" i="4" l="1"/>
  <c r="D72" i="4" s="1"/>
  <c r="F72" i="4" s="1"/>
  <c r="G72" i="4" s="1"/>
  <c r="A73" i="4" s="1"/>
  <c r="B73" i="4" l="1"/>
  <c r="C73" i="4"/>
  <c r="E73" i="4" l="1"/>
  <c r="H73" i="4" l="1"/>
  <c r="D73" i="4" s="1"/>
  <c r="F73" i="4" s="1"/>
  <c r="G73" i="4" s="1"/>
  <c r="A74" i="4" s="1"/>
  <c r="B74" i="4" l="1"/>
  <c r="C74" i="4"/>
  <c r="E74" i="4" l="1"/>
  <c r="H74" i="4" s="1"/>
  <c r="D74" i="4" l="1"/>
  <c r="F74" i="4" s="1"/>
  <c r="G74" i="4" s="1"/>
  <c r="A75" i="4" s="1"/>
  <c r="C75" i="4" l="1"/>
  <c r="E75" i="4" s="1"/>
  <c r="H75" i="4" s="1"/>
  <c r="B75" i="4"/>
  <c r="D75" i="4" l="1"/>
  <c r="F75" i="4" s="1"/>
  <c r="G75" i="4" s="1"/>
  <c r="A76" i="4" s="1"/>
  <c r="B76" i="4" s="1"/>
  <c r="C76" i="4" l="1"/>
  <c r="E76" i="4" s="1"/>
  <c r="H76" i="4" s="1"/>
  <c r="D76" i="4" s="1"/>
  <c r="F76" i="4" s="1"/>
  <c r="G76" i="4" s="1"/>
  <c r="A77" i="4" s="1"/>
  <c r="C77" i="4" l="1"/>
  <c r="B77" i="4"/>
  <c r="E77" i="4" l="1"/>
  <c r="H77" i="4" s="1"/>
  <c r="D77" i="4" s="1"/>
  <c r="F77" i="4" s="1"/>
  <c r="G77" i="4" s="1"/>
  <c r="A78" i="4" s="1"/>
  <c r="C78" i="4" l="1"/>
  <c r="B78" i="4"/>
  <c r="E78" i="4" l="1"/>
  <c r="H78" i="4" l="1"/>
  <c r="D78" i="4" s="1"/>
  <c r="F78" i="4" s="1"/>
  <c r="G78" i="4" s="1"/>
  <c r="A79" i="4" s="1"/>
  <c r="B79" i="4" s="1"/>
  <c r="C79" i="4" l="1"/>
  <c r="E79" i="4" s="1"/>
  <c r="H79" i="4" l="1"/>
  <c r="D79" i="4" s="1"/>
  <c r="F79" i="4" s="1"/>
  <c r="G79" i="4" s="1"/>
  <c r="A80" i="4" s="1"/>
  <c r="C80" i="4" l="1"/>
  <c r="E80" i="4" s="1"/>
  <c r="H80" i="4" s="1"/>
  <c r="D80" i="4" s="1"/>
  <c r="F80" i="4" s="1"/>
  <c r="B80" i="4"/>
  <c r="G80" i="4" l="1"/>
  <c r="A81" i="4" s="1"/>
  <c r="C81" i="4" s="1"/>
  <c r="E81" i="4" l="1"/>
  <c r="H81" i="4" s="1"/>
  <c r="B81" i="4"/>
  <c r="D81" i="4" l="1"/>
  <c r="F81" i="4" s="1"/>
  <c r="G81" i="4" s="1"/>
  <c r="A82" i="4" s="1"/>
  <c r="C82" i="4" s="1"/>
  <c r="E82" i="4" s="1"/>
  <c r="H82" i="4" s="1"/>
  <c r="B82" i="4" l="1"/>
  <c r="D82" i="4"/>
  <c r="F82" i="4" s="1"/>
  <c r="G82" i="4" s="1"/>
  <c r="A83" i="4" s="1"/>
  <c r="C83" i="4" l="1"/>
  <c r="B83" i="4"/>
  <c r="E83" i="4" l="1"/>
  <c r="H83" i="4" s="1"/>
  <c r="D83" i="4" l="1"/>
  <c r="F83" i="4" s="1"/>
  <c r="G83" i="4" s="1"/>
  <c r="A84" i="4" s="1"/>
  <c r="C84" i="4" l="1"/>
  <c r="E84" i="4" s="1"/>
  <c r="H84" i="4" s="1"/>
  <c r="B84" i="4"/>
  <c r="D84" i="4" l="1"/>
  <c r="F84" i="4" s="1"/>
  <c r="G84" i="4" s="1"/>
  <c r="A85" i="4" s="1"/>
  <c r="B85" i="4" l="1"/>
  <c r="C85" i="4"/>
  <c r="E85" i="4" l="1"/>
  <c r="H85" i="4" l="1"/>
  <c r="D85" i="4" s="1"/>
  <c r="F85" i="4" s="1"/>
  <c r="G85" i="4" s="1"/>
  <c r="A86" i="4" s="1"/>
  <c r="C86" i="4" l="1"/>
  <c r="E86" i="4" s="1"/>
  <c r="H86" i="4" s="1"/>
  <c r="B86" i="4"/>
  <c r="D86" i="4" l="1"/>
  <c r="F86" i="4" s="1"/>
  <c r="G86" i="4" s="1"/>
  <c r="A87" i="4" s="1"/>
  <c r="C87" i="4" l="1"/>
  <c r="B87" i="4"/>
  <c r="E87" i="4" l="1"/>
  <c r="H87" i="4" s="1"/>
  <c r="D87" i="4" l="1"/>
  <c r="F87" i="4" s="1"/>
  <c r="G87" i="4" s="1"/>
  <c r="A88" i="4" s="1"/>
  <c r="B88" i="4" l="1"/>
  <c r="C88" i="4"/>
  <c r="E88" i="4" s="1"/>
  <c r="H88" i="4" l="1"/>
  <c r="D88" i="4" s="1"/>
  <c r="F88" i="4" s="1"/>
  <c r="G88" i="4" s="1"/>
  <c r="A89" i="4" s="1"/>
  <c r="B89" i="4" l="1"/>
  <c r="C89" i="4"/>
  <c r="E89" i="4" l="1"/>
  <c r="H89" i="4" s="1"/>
  <c r="D89" i="4" s="1"/>
  <c r="F89" i="4" s="1"/>
  <c r="G89" i="4" s="1"/>
  <c r="A90" i="4" s="1"/>
  <c r="C90" i="4" l="1"/>
  <c r="E90" i="4" s="1"/>
  <c r="H90" i="4" s="1"/>
  <c r="D90" i="4" s="1"/>
  <c r="F90" i="4" s="1"/>
  <c r="G90" i="4" s="1"/>
  <c r="A91" i="4" s="1"/>
  <c r="B90" i="4"/>
  <c r="B91" i="4" l="1"/>
  <c r="C91" i="4"/>
  <c r="E91" i="4" s="1"/>
  <c r="H91" i="4" s="1"/>
  <c r="D91" i="4" l="1"/>
  <c r="F91" i="4" s="1"/>
  <c r="G91" i="4" s="1"/>
  <c r="A92" i="4" s="1"/>
  <c r="B92" i="4" l="1"/>
  <c r="C92" i="4"/>
  <c r="E92" i="4" s="1"/>
  <c r="H92" i="4" s="1"/>
  <c r="D92" i="4" l="1"/>
  <c r="F92" i="4" s="1"/>
  <c r="G92" i="4" s="1"/>
  <c r="A93" i="4" s="1"/>
  <c r="B93" i="4" l="1"/>
  <c r="C93" i="4"/>
  <c r="E93" i="4" l="1"/>
  <c r="H93" i="4" l="1"/>
  <c r="D93" i="4" s="1"/>
  <c r="F93" i="4" s="1"/>
  <c r="G93" i="4" s="1"/>
  <c r="A94" i="4" s="1"/>
  <c r="B94" i="4" l="1"/>
  <c r="C94" i="4"/>
  <c r="E94" i="4" s="1"/>
  <c r="H94" i="4" l="1"/>
  <c r="D94" i="4" s="1"/>
  <c r="F94" i="4" s="1"/>
  <c r="G94" i="4" s="1"/>
  <c r="A95" i="4" s="1"/>
  <c r="B95" i="4" l="1"/>
  <c r="C95" i="4"/>
  <c r="E95" i="4" l="1"/>
  <c r="H95" i="4" s="1"/>
  <c r="D95" i="4" l="1"/>
  <c r="F95" i="4" s="1"/>
  <c r="G95" i="4" s="1"/>
  <c r="A96" i="4" s="1"/>
  <c r="B96" i="4" s="1"/>
  <c r="C96" i="4" l="1"/>
  <c r="E96" i="4" s="1"/>
  <c r="H96" i="4" l="1"/>
  <c r="D96" i="4" s="1"/>
  <c r="F96" i="4" s="1"/>
  <c r="G96" i="4" s="1"/>
  <c r="A97" i="4" s="1"/>
  <c r="B97" i="4" l="1"/>
  <c r="C97" i="4"/>
  <c r="E97" i="4" l="1"/>
  <c r="H97" i="4" l="1"/>
  <c r="D97" i="4" s="1"/>
  <c r="F97" i="4" s="1"/>
  <c r="G97" i="4" s="1"/>
  <c r="A98" i="4" s="1"/>
  <c r="C98" i="4" l="1"/>
  <c r="B98" i="4"/>
  <c r="E98" i="4" l="1"/>
  <c r="H98" i="4" s="1"/>
  <c r="D98" i="4" s="1"/>
  <c r="F98" i="4" s="1"/>
  <c r="G98" i="4" s="1"/>
  <c r="A99" i="4" s="1"/>
  <c r="C99" i="4" l="1"/>
  <c r="B99" i="4"/>
  <c r="E99" i="4" l="1"/>
  <c r="H99" i="4" s="1"/>
  <c r="D99" i="4" l="1"/>
  <c r="F99" i="4" s="1"/>
  <c r="G99" i="4" s="1"/>
  <c r="A100" i="4" s="1"/>
  <c r="B100" i="4" s="1"/>
  <c r="C100" i="4" l="1"/>
  <c r="E100" i="4" s="1"/>
  <c r="H100" i="4" s="1"/>
  <c r="D100" i="4" l="1"/>
  <c r="F100" i="4" s="1"/>
  <c r="G100" i="4" s="1"/>
  <c r="A101" i="4" s="1"/>
  <c r="B101" i="4" l="1"/>
  <c r="C101" i="4"/>
  <c r="E101" i="4" l="1"/>
  <c r="H101" i="4" l="1"/>
  <c r="D101" i="4" s="1"/>
  <c r="F101" i="4" s="1"/>
  <c r="G101" i="4" s="1"/>
  <c r="A102" i="4" s="1"/>
  <c r="B102" i="4" l="1"/>
  <c r="C102" i="4"/>
  <c r="E102" i="4" l="1"/>
  <c r="H102" i="4" s="1"/>
  <c r="D102" i="4" l="1"/>
  <c r="F102" i="4" s="1"/>
  <c r="G102" i="4" s="1"/>
  <c r="A103" i="4" s="1"/>
  <c r="B103" i="4" l="1"/>
  <c r="C103" i="4"/>
  <c r="E103" i="4" l="1"/>
  <c r="H103" i="4" l="1"/>
  <c r="D103" i="4" s="1"/>
  <c r="F103" i="4" s="1"/>
  <c r="G103" i="4" s="1"/>
  <c r="A104" i="4" s="1"/>
  <c r="B104" i="4" l="1"/>
  <c r="C104" i="4"/>
  <c r="E104" i="4" s="1"/>
  <c r="H104" i="4" s="1"/>
  <c r="D104" i="4" l="1"/>
  <c r="F104" i="4" s="1"/>
  <c r="G104" i="4" s="1"/>
  <c r="A105" i="4" s="1"/>
  <c r="C105" i="4" s="1"/>
  <c r="E105" i="4" l="1"/>
  <c r="H105" i="4" s="1"/>
  <c r="D105" i="4" s="1"/>
  <c r="F105" i="4" s="1"/>
  <c r="G105" i="4" s="1"/>
  <c r="A106" i="4" s="1"/>
  <c r="B105" i="4"/>
  <c r="B106" i="4" l="1"/>
  <c r="C106" i="4"/>
  <c r="E106" i="4" l="1"/>
  <c r="H106" i="4" l="1"/>
  <c r="D106" i="4" s="1"/>
  <c r="F106" i="4" s="1"/>
  <c r="G106" i="4" s="1"/>
  <c r="A107" i="4" s="1"/>
  <c r="B107" i="4" l="1"/>
  <c r="C107" i="4"/>
  <c r="E107" i="4" l="1"/>
  <c r="H107" i="4" s="1"/>
  <c r="D107" i="4" l="1"/>
  <c r="F107" i="4" s="1"/>
  <c r="G107" i="4" s="1"/>
  <c r="A108" i="4" s="1"/>
  <c r="C108" i="4" l="1"/>
  <c r="E108" i="4" s="1"/>
  <c r="B108" i="4"/>
  <c r="H108" i="4" l="1"/>
  <c r="D108" i="4" s="1"/>
  <c r="F108" i="4" s="1"/>
  <c r="G108" i="4" s="1"/>
  <c r="A109" i="4" s="1"/>
  <c r="B109" i="4" l="1"/>
  <c r="C109" i="4"/>
  <c r="E109" i="4" l="1"/>
  <c r="H109" i="4" l="1"/>
  <c r="D109" i="4" s="1"/>
  <c r="F109" i="4" s="1"/>
  <c r="G109" i="4" s="1"/>
  <c r="A110" i="4" s="1"/>
  <c r="B110" i="4" l="1"/>
  <c r="C110" i="4"/>
  <c r="E110" i="4" s="1"/>
  <c r="H110" i="4" l="1"/>
  <c r="D110" i="4" s="1"/>
  <c r="F110" i="4" s="1"/>
  <c r="G110" i="4" s="1"/>
  <c r="A111" i="4" s="1"/>
  <c r="B111" i="4" l="1"/>
  <c r="C111" i="4"/>
  <c r="E111" i="4" s="1"/>
  <c r="H111" i="4" l="1"/>
  <c r="D111" i="4" s="1"/>
  <c r="F111" i="4" s="1"/>
  <c r="G111" i="4" s="1"/>
  <c r="A112" i="4" s="1"/>
  <c r="B112" i="4" l="1"/>
  <c r="C112" i="4"/>
  <c r="E112" i="4" l="1"/>
  <c r="H112" i="4" s="1"/>
  <c r="D112" i="4" l="1"/>
  <c r="F112" i="4" s="1"/>
  <c r="G112" i="4" s="1"/>
  <c r="A113" i="4" s="1"/>
  <c r="C113" i="4" l="1"/>
  <c r="B113" i="4"/>
  <c r="E113" i="4" l="1"/>
  <c r="H113" i="4" s="1"/>
  <c r="D113" i="4" l="1"/>
  <c r="F113" i="4" s="1"/>
  <c r="G113" i="4" s="1"/>
  <c r="A114" i="4" s="1"/>
  <c r="B114" i="4" s="1"/>
  <c r="C114" i="4" l="1"/>
  <c r="E114" i="4" s="1"/>
  <c r="H114" i="4" s="1"/>
  <c r="D114" i="4" l="1"/>
  <c r="F114" i="4" s="1"/>
  <c r="G114" i="4" s="1"/>
  <c r="A115" i="4" s="1"/>
  <c r="B115" i="4" s="1"/>
  <c r="C115" i="4" l="1"/>
  <c r="E115" i="4" s="1"/>
  <c r="H115" i="4" s="1"/>
  <c r="D115" i="4" l="1"/>
  <c r="F115" i="4" s="1"/>
  <c r="G115" i="4" s="1"/>
  <c r="A116" i="4" s="1"/>
  <c r="C116" i="4" l="1"/>
  <c r="B116" i="4"/>
  <c r="E116" i="4" l="1"/>
  <c r="H116" i="4" l="1"/>
  <c r="D116" i="4" s="1"/>
  <c r="F116" i="4" s="1"/>
  <c r="G116" i="4" s="1"/>
  <c r="A117" i="4" s="1"/>
  <c r="B117" i="4" l="1"/>
  <c r="C117" i="4"/>
  <c r="E117" i="4" s="1"/>
  <c r="H117" i="4" l="1"/>
  <c r="D117" i="4" s="1"/>
  <c r="F117" i="4" s="1"/>
  <c r="G117" i="4" s="1"/>
  <c r="A118" i="4" s="1"/>
  <c r="B118" i="4" l="1"/>
  <c r="C118" i="4"/>
  <c r="E118" i="4" l="1"/>
  <c r="H118" i="4" l="1"/>
  <c r="D118" i="4" s="1"/>
  <c r="F118" i="4" s="1"/>
  <c r="G118" i="4" s="1"/>
  <c r="A119" i="4" s="1"/>
  <c r="C119" i="4" l="1"/>
  <c r="E119" i="4" s="1"/>
  <c r="B119" i="4"/>
  <c r="H119" i="4" l="1"/>
  <c r="D119" i="4" s="1"/>
  <c r="F119" i="4" s="1"/>
  <c r="G119" i="4" s="1"/>
  <c r="A120" i="4" s="1"/>
  <c r="C120" i="4" l="1"/>
  <c r="E120" i="4" s="1"/>
  <c r="B120" i="4"/>
  <c r="H120" i="4" l="1"/>
  <c r="D120" i="4" s="1"/>
  <c r="F120" i="4" s="1"/>
  <c r="G120" i="4" s="1"/>
  <c r="A121" i="4" s="1"/>
  <c r="B121" i="4" l="1"/>
  <c r="C121" i="4"/>
  <c r="E121" i="4" l="1"/>
  <c r="H121" i="4" s="1"/>
  <c r="D121" i="4" l="1"/>
  <c r="F121" i="4" s="1"/>
  <c r="G121" i="4" s="1"/>
  <c r="A122" i="4" s="1"/>
  <c r="B122" i="4" s="1"/>
  <c r="C122" i="4" l="1"/>
  <c r="E122" i="4" l="1"/>
  <c r="H122" i="4" s="1"/>
  <c r="D122" i="4" s="1"/>
  <c r="F122" i="4" s="1"/>
  <c r="G122" i="4" s="1"/>
  <c r="A123" i="4" s="1"/>
  <c r="C123" i="4" l="1"/>
  <c r="E123" i="4" s="1"/>
  <c r="H123" i="4" s="1"/>
  <c r="B123" i="4"/>
  <c r="D123" i="4" l="1"/>
  <c r="F123" i="4" s="1"/>
  <c r="G123" i="4" s="1"/>
  <c r="A124" i="4" s="1"/>
  <c r="C124" i="4" l="1"/>
  <c r="B124" i="4"/>
  <c r="E124" i="4" l="1"/>
  <c r="H124" i="4" l="1"/>
  <c r="D124" i="4" s="1"/>
  <c r="F124" i="4" s="1"/>
  <c r="G124" i="4" s="1"/>
  <c r="A125" i="4" s="1"/>
  <c r="C125" i="4" l="1"/>
  <c r="E125" i="4" s="1"/>
  <c r="B125" i="4"/>
  <c r="H125" i="4" l="1"/>
  <c r="D125" i="4" s="1"/>
  <c r="F125" i="4" s="1"/>
  <c r="G125" i="4" s="1"/>
  <c r="A126" i="4" s="1"/>
  <c r="B126" i="4" l="1"/>
  <c r="C126" i="4"/>
  <c r="E126" i="4" s="1"/>
  <c r="H126" i="4" l="1"/>
  <c r="D126" i="4" s="1"/>
  <c r="F126" i="4" s="1"/>
  <c r="G126" i="4" s="1"/>
  <c r="A127" i="4" s="1"/>
  <c r="C127" i="4" l="1"/>
  <c r="E127" i="4" s="1"/>
  <c r="B127" i="4"/>
  <c r="H127" i="4" l="1"/>
  <c r="D127" i="4" s="1"/>
  <c r="F127" i="4" s="1"/>
  <c r="G127" i="4" s="1"/>
  <c r="A128" i="4" s="1"/>
  <c r="C128" i="4" l="1"/>
  <c r="E128" i="4" s="1"/>
  <c r="H128" i="4" s="1"/>
  <c r="D128" i="4" s="1"/>
  <c r="F128" i="4" s="1"/>
  <c r="G128" i="4" s="1"/>
  <c r="A129" i="4" s="1"/>
  <c r="B128" i="4"/>
  <c r="B129" i="4" l="1"/>
  <c r="C129" i="4"/>
  <c r="E129" i="4" l="1"/>
  <c r="H129" i="4" l="1"/>
  <c r="D129" i="4" s="1"/>
  <c r="F129" i="4" s="1"/>
  <c r="G129" i="4" s="1"/>
  <c r="A130" i="4" s="1"/>
  <c r="C130" i="4" l="1"/>
  <c r="B130" i="4"/>
  <c r="E130" i="4" l="1"/>
  <c r="H130" i="4" s="1"/>
  <c r="D130" i="4" l="1"/>
  <c r="F130" i="4" s="1"/>
  <c r="G130" i="4" s="1"/>
  <c r="A131" i="4" s="1"/>
  <c r="C131" i="4" l="1"/>
  <c r="E131" i="4" s="1"/>
  <c r="H131" i="4" s="1"/>
  <c r="B131" i="4"/>
  <c r="D131" i="4" l="1"/>
  <c r="F131" i="4" s="1"/>
  <c r="G131" i="4" s="1"/>
  <c r="A132" i="4" s="1"/>
  <c r="C132" i="4" l="1"/>
  <c r="B132" i="4"/>
  <c r="E132" i="4" l="1"/>
  <c r="H132" i="4" s="1"/>
  <c r="D132" i="4" s="1"/>
  <c r="F132" i="4" s="1"/>
  <c r="G132" i="4" s="1"/>
  <c r="A133" i="4" s="1"/>
  <c r="C133" i="4" l="1"/>
  <c r="B133" i="4"/>
  <c r="E133" i="4" l="1"/>
  <c r="H133" i="4" s="1"/>
  <c r="D133" i="4" l="1"/>
  <c r="F133" i="4" s="1"/>
  <c r="G133" i="4" s="1"/>
  <c r="A134" i="4" s="1"/>
  <c r="C134" i="4" l="1"/>
  <c r="B134" i="4"/>
  <c r="E134" i="4" l="1"/>
  <c r="H134" i="4" s="1"/>
  <c r="D134" i="4" l="1"/>
  <c r="F134" i="4" s="1"/>
  <c r="G134" i="4" s="1"/>
  <c r="A135" i="4" s="1"/>
  <c r="B135" i="4" l="1"/>
  <c r="C135" i="4"/>
  <c r="E135" i="4" l="1"/>
  <c r="H135" i="4" s="1"/>
  <c r="D135" i="4" s="1"/>
  <c r="F135" i="4" s="1"/>
  <c r="G135" i="4" s="1"/>
  <c r="A136" i="4" s="1"/>
  <c r="C136" i="4" l="1"/>
  <c r="B136" i="4"/>
  <c r="E136" i="4" l="1"/>
  <c r="H136" i="4" s="1"/>
  <c r="D136" i="4" l="1"/>
  <c r="F136" i="4" s="1"/>
  <c r="G136" i="4" s="1"/>
  <c r="A137" i="4" s="1"/>
  <c r="B137" i="4" l="1"/>
  <c r="C137" i="4"/>
  <c r="E137" i="4" s="1"/>
  <c r="H137" i="4" l="1"/>
  <c r="D137" i="4" s="1"/>
  <c r="F137" i="4" s="1"/>
  <c r="G137" i="4" s="1"/>
  <c r="A138" i="4" s="1"/>
  <c r="C138" i="4" l="1"/>
  <c r="B138" i="4"/>
  <c r="E138" i="4" l="1"/>
  <c r="H138" i="4" s="1"/>
  <c r="D138" i="4" l="1"/>
  <c r="F138" i="4" s="1"/>
  <c r="G138" i="4" s="1"/>
  <c r="A139" i="4" s="1"/>
  <c r="C139" i="4" l="1"/>
  <c r="B139" i="4"/>
  <c r="E139" i="4" l="1"/>
  <c r="H139" i="4" l="1"/>
  <c r="D139" i="4" s="1"/>
  <c r="F139" i="4" s="1"/>
  <c r="G139" i="4" s="1"/>
  <c r="A140" i="4" s="1"/>
  <c r="B140" i="4" l="1"/>
  <c r="C140" i="4"/>
  <c r="E140" i="4" l="1"/>
  <c r="H140" i="4" s="1"/>
  <c r="D140" i="4" s="1"/>
  <c r="F140" i="4" s="1"/>
  <c r="G140" i="4" s="1"/>
  <c r="A141" i="4" s="1"/>
  <c r="C141" i="4" l="1"/>
  <c r="E141" i="4" s="1"/>
  <c r="B141" i="4"/>
  <c r="H141" i="4" l="1"/>
  <c r="D141" i="4" s="1"/>
  <c r="F141" i="4" s="1"/>
  <c r="G141" i="4" s="1"/>
  <c r="A142" i="4" s="1"/>
  <c r="C142" i="4" s="1"/>
  <c r="B142" i="4" l="1"/>
  <c r="E142" i="4"/>
  <c r="H142" i="4" s="1"/>
  <c r="D142" i="4" s="1"/>
  <c r="F142" i="4" s="1"/>
  <c r="G142" i="4" s="1"/>
  <c r="A143" i="4" s="1"/>
  <c r="B143" i="4" l="1"/>
  <c r="C143" i="4"/>
  <c r="E143" i="4" l="1"/>
  <c r="H143" i="4" l="1"/>
  <c r="D143" i="4" s="1"/>
  <c r="F143" i="4" s="1"/>
  <c r="G143" i="4" s="1"/>
  <c r="A144" i="4" s="1"/>
  <c r="C144" i="4" l="1"/>
  <c r="B144" i="4"/>
  <c r="E144" i="4" l="1"/>
  <c r="H144" i="4" s="1"/>
  <c r="D144" i="4" s="1"/>
  <c r="F144" i="4" s="1"/>
  <c r="G144" i="4" s="1"/>
  <c r="A145" i="4" s="1"/>
  <c r="C145" i="4" l="1"/>
  <c r="B145" i="4"/>
  <c r="E145" i="4" l="1"/>
  <c r="H145" i="4" s="1"/>
  <c r="D145" i="4" l="1"/>
  <c r="F145" i="4" s="1"/>
  <c r="G145" i="4" s="1"/>
  <c r="A146" i="4" s="1"/>
  <c r="C146" i="4" l="1"/>
  <c r="B146" i="4"/>
  <c r="E146" i="4" l="1"/>
  <c r="H146" i="4" s="1"/>
  <c r="D146" i="4" l="1"/>
  <c r="F146" i="4" s="1"/>
  <c r="G146" i="4" s="1"/>
  <c r="A147" i="4" s="1"/>
  <c r="B147" i="4" l="1"/>
  <c r="C147" i="4"/>
  <c r="E147" i="4" l="1"/>
  <c r="H147" i="4" s="1"/>
  <c r="D147" i="4" l="1"/>
  <c r="F147" i="4" s="1"/>
  <c r="G147" i="4" s="1"/>
  <c r="A148" i="4" s="1"/>
  <c r="C148" i="4" l="1"/>
  <c r="B148" i="4"/>
  <c r="E148" i="4" l="1"/>
  <c r="H148" i="4" s="1"/>
  <c r="D148" i="4" l="1"/>
  <c r="F148" i="4" s="1"/>
  <c r="G148" i="4" s="1"/>
  <c r="A149" i="4" s="1"/>
  <c r="C149" i="4" l="1"/>
  <c r="E149" i="4" s="1"/>
  <c r="B149" i="4"/>
  <c r="H149" i="4" l="1"/>
  <c r="D149" i="4" s="1"/>
  <c r="F149" i="4" s="1"/>
  <c r="G149" i="4" s="1"/>
  <c r="A150" i="4" s="1"/>
  <c r="C150" i="4" l="1"/>
  <c r="B150" i="4"/>
  <c r="E150" i="4" l="1"/>
  <c r="H150" i="4" l="1"/>
  <c r="D150" i="4" s="1"/>
  <c r="F150" i="4" s="1"/>
  <c r="G150" i="4" s="1"/>
  <c r="A151" i="4" s="1"/>
  <c r="C151" i="4" l="1"/>
  <c r="E151" i="4" s="1"/>
  <c r="H151" i="4" s="1"/>
  <c r="B151" i="4"/>
  <c r="D151" i="4" l="1"/>
  <c r="F151" i="4" s="1"/>
  <c r="G151" i="4" s="1"/>
  <c r="A152" i="4" s="1"/>
  <c r="B152" i="4" l="1"/>
  <c r="C152" i="4"/>
  <c r="E152" i="4" s="1"/>
  <c r="H152" i="4" s="1"/>
  <c r="D152" i="4" l="1"/>
  <c r="F152" i="4" s="1"/>
  <c r="G152" i="4" s="1"/>
  <c r="A153" i="4" s="1"/>
  <c r="C153" i="4" l="1"/>
  <c r="B153" i="4"/>
  <c r="E153" i="4" l="1"/>
  <c r="H153" i="4" s="1"/>
  <c r="D153" i="4" l="1"/>
  <c r="F153" i="4" s="1"/>
  <c r="G153" i="4" s="1"/>
  <c r="A154" i="4" s="1"/>
  <c r="C154" i="4" l="1"/>
  <c r="E154" i="4" s="1"/>
  <c r="B154" i="4"/>
  <c r="H154" i="4" l="1"/>
  <c r="D154" i="4" s="1"/>
  <c r="F154" i="4" s="1"/>
  <c r="G154" i="4" s="1"/>
  <c r="A155" i="4" s="1"/>
  <c r="C155" i="4" l="1"/>
  <c r="E155" i="4" s="1"/>
  <c r="B155" i="4"/>
  <c r="H155" i="4" l="1"/>
  <c r="D155" i="4" s="1"/>
  <c r="F155" i="4" s="1"/>
  <c r="G155" i="4" s="1"/>
  <c r="A156" i="4" s="1"/>
  <c r="C156" i="4" l="1"/>
  <c r="B156" i="4"/>
  <c r="E156" i="4" l="1"/>
  <c r="H156" i="4" s="1"/>
  <c r="D156" i="4" l="1"/>
  <c r="F156" i="4" s="1"/>
  <c r="G156" i="4" s="1"/>
  <c r="A157" i="4" s="1"/>
  <c r="C157" i="4" l="1"/>
  <c r="B157" i="4"/>
  <c r="E157" i="4" l="1"/>
  <c r="H157" i="4" s="1"/>
  <c r="D157" i="4" l="1"/>
  <c r="F157" i="4" s="1"/>
  <c r="G157" i="4" s="1"/>
  <c r="A158" i="4" s="1"/>
  <c r="C158" i="4" l="1"/>
  <c r="B158" i="4"/>
  <c r="E158" i="4" l="1"/>
  <c r="H158" i="4" l="1"/>
  <c r="D158" i="4" s="1"/>
  <c r="F158" i="4" s="1"/>
  <c r="G158" i="4" s="1"/>
  <c r="A159" i="4" s="1"/>
  <c r="B159" i="4" l="1"/>
  <c r="C159" i="4"/>
  <c r="E159" i="4" l="1"/>
  <c r="H159" i="4" s="1"/>
  <c r="D159" i="4" s="1"/>
  <c r="F159" i="4" s="1"/>
  <c r="G159" i="4" s="1"/>
  <c r="A160" i="4" s="1"/>
  <c r="C160" i="4" l="1"/>
  <c r="E160" i="4" s="1"/>
  <c r="H160" i="4" s="1"/>
  <c r="B160" i="4"/>
  <c r="D160" i="4" l="1"/>
  <c r="F160" i="4" s="1"/>
  <c r="G160" i="4" s="1"/>
  <c r="A161" i="4" s="1"/>
  <c r="B161" i="4" l="1"/>
  <c r="C161" i="4"/>
  <c r="E161" i="4" l="1"/>
  <c r="H161" i="4" s="1"/>
  <c r="D161" i="4" l="1"/>
  <c r="F161" i="4" s="1"/>
  <c r="G161" i="4" s="1"/>
  <c r="A162" i="4" s="1"/>
  <c r="B162" i="4" s="1"/>
  <c r="C162" i="4" l="1"/>
  <c r="E162" i="4" s="1"/>
  <c r="H162" i="4" s="1"/>
  <c r="D162" i="4" l="1"/>
  <c r="F162" i="4" s="1"/>
  <c r="G162" i="4" s="1"/>
  <c r="A163" i="4" s="1"/>
  <c r="C163" i="4" l="1"/>
  <c r="E163" i="4" s="1"/>
  <c r="H163" i="4" s="1"/>
  <c r="B163" i="4"/>
  <c r="D163" i="4" l="1"/>
  <c r="F163" i="4" s="1"/>
  <c r="G163" i="4" s="1"/>
  <c r="A164" i="4" s="1"/>
  <c r="B164" i="4" l="1"/>
  <c r="C164" i="4"/>
  <c r="E164" i="4" l="1"/>
  <c r="H164" i="4" s="1"/>
  <c r="D164" i="4" l="1"/>
  <c r="F164" i="4" s="1"/>
  <c r="G164" i="4" s="1"/>
  <c r="A165" i="4" s="1"/>
  <c r="B165" i="4" l="1"/>
  <c r="C165" i="4"/>
  <c r="E165" i="4" l="1"/>
  <c r="H165" i="4" l="1"/>
  <c r="D165" i="4" s="1"/>
  <c r="F165" i="4" s="1"/>
  <c r="G165" i="4" s="1"/>
  <c r="A166" i="4" s="1"/>
  <c r="C166" i="4" s="1"/>
  <c r="B166" i="4" l="1"/>
  <c r="E166" i="4"/>
  <c r="H166" i="4" s="1"/>
  <c r="D166" i="4" l="1"/>
  <c r="F166" i="4" s="1"/>
  <c r="G166" i="4" s="1"/>
  <c r="A167" i="4" s="1"/>
  <c r="C167" i="4" l="1"/>
  <c r="E167" i="4" s="1"/>
  <c r="B167" i="4"/>
  <c r="H167" i="4" l="1"/>
  <c r="D167" i="4" s="1"/>
  <c r="F167" i="4" s="1"/>
  <c r="G167" i="4" s="1"/>
  <c r="A168" i="4" s="1"/>
  <c r="C168" i="4" l="1"/>
  <c r="B168" i="4"/>
  <c r="E168" i="4" l="1"/>
  <c r="H168" i="4" s="1"/>
  <c r="D168" i="4" l="1"/>
  <c r="F168" i="4" s="1"/>
  <c r="G168" i="4" s="1"/>
  <c r="A169" i="4" s="1"/>
  <c r="C169" i="4" l="1"/>
  <c r="E169" i="4" s="1"/>
  <c r="H169" i="4" s="1"/>
  <c r="B169" i="4"/>
  <c r="D169" i="4" l="1"/>
  <c r="F169" i="4" s="1"/>
  <c r="G169" i="4" s="1"/>
  <c r="A170" i="4" s="1"/>
  <c r="B170" i="4" l="1"/>
  <c r="C170" i="4"/>
  <c r="E170" i="4" l="1"/>
  <c r="H170" i="4" l="1"/>
  <c r="D170" i="4" s="1"/>
  <c r="F170" i="4" s="1"/>
  <c r="G170" i="4" s="1"/>
  <c r="A171" i="4" s="1"/>
  <c r="B171" i="4" l="1"/>
  <c r="C171" i="4"/>
  <c r="E171" i="4" s="1"/>
  <c r="H171" i="4" s="1"/>
  <c r="D171" i="4" l="1"/>
  <c r="F171" i="4" s="1"/>
  <c r="G171" i="4" s="1"/>
  <c r="A172" i="4" s="1"/>
  <c r="C172" i="4" l="1"/>
  <c r="B172" i="4"/>
  <c r="E172" i="4" l="1"/>
  <c r="H172" i="4" s="1"/>
  <c r="D172" i="4" s="1"/>
  <c r="F172" i="4" s="1"/>
  <c r="G172" i="4" s="1"/>
  <c r="A173" i="4" s="1"/>
  <c r="C173" i="4" l="1"/>
  <c r="B173" i="4"/>
  <c r="E173" i="4" l="1"/>
  <c r="H173" i="4" l="1"/>
  <c r="D173" i="4" s="1"/>
  <c r="F173" i="4" s="1"/>
  <c r="G173" i="4" s="1"/>
  <c r="A174" i="4" s="1"/>
  <c r="B174" i="4" l="1"/>
  <c r="C174" i="4"/>
  <c r="E174" i="4" l="1"/>
  <c r="H174" i="4" s="1"/>
  <c r="D174" i="4" l="1"/>
  <c r="F174" i="4" s="1"/>
  <c r="G174" i="4" s="1"/>
  <c r="A175" i="4" s="1"/>
  <c r="C175" i="4" l="1"/>
  <c r="E175" i="4" s="1"/>
  <c r="H175" i="4" s="1"/>
  <c r="B175" i="4"/>
  <c r="D175" i="4" l="1"/>
  <c r="F175" i="4" s="1"/>
  <c r="G175" i="4" s="1"/>
  <c r="A176" i="4" s="1"/>
  <c r="C176" i="4" l="1"/>
  <c r="E176" i="4" s="1"/>
  <c r="B176" i="4"/>
  <c r="H176" i="4" l="1"/>
  <c r="D176" i="4" s="1"/>
  <c r="F176" i="4" s="1"/>
  <c r="G176" i="4" s="1"/>
  <c r="A177" i="4" s="1"/>
  <c r="C177" i="4" l="1"/>
  <c r="E177" i="4" s="1"/>
  <c r="B177" i="4"/>
  <c r="H177" i="4" l="1"/>
  <c r="D177" i="4" s="1"/>
  <c r="F177" i="4" s="1"/>
  <c r="G177" i="4" s="1"/>
  <c r="A178" i="4" s="1"/>
  <c r="C178" i="4" l="1"/>
  <c r="B178" i="4"/>
  <c r="E178" i="4" l="1"/>
  <c r="H178" i="4" s="1"/>
  <c r="D178" i="4" l="1"/>
  <c r="F178" i="4" s="1"/>
  <c r="G178" i="4" s="1"/>
  <c r="A179" i="4" s="1"/>
  <c r="C179" i="4" s="1"/>
  <c r="B179" i="4" l="1"/>
  <c r="E179" i="4"/>
  <c r="H179" i="4" l="1"/>
  <c r="D179" i="4" s="1"/>
  <c r="F179" i="4" s="1"/>
  <c r="G179" i="4" s="1"/>
  <c r="A180" i="4" s="1"/>
  <c r="C180" i="4" l="1"/>
  <c r="E180" i="4" s="1"/>
  <c r="B180" i="4"/>
  <c r="H180" i="4" l="1"/>
  <c r="D180" i="4" s="1"/>
  <c r="F180" i="4" s="1"/>
  <c r="G180" i="4" s="1"/>
  <c r="A181" i="4" s="1"/>
  <c r="C181" i="4" l="1"/>
  <c r="B181" i="4"/>
  <c r="E181" i="4" l="1"/>
  <c r="H181" i="4" s="1"/>
  <c r="D181" i="4" l="1"/>
  <c r="F181" i="4" s="1"/>
  <c r="G181" i="4" s="1"/>
  <c r="A182" i="4" s="1"/>
  <c r="C182" i="4" s="1"/>
  <c r="B182" i="4" l="1"/>
  <c r="E182" i="4"/>
  <c r="H182" i="4" l="1"/>
  <c r="D182" i="4" s="1"/>
  <c r="F182" i="4" s="1"/>
  <c r="G182" i="4" s="1"/>
  <c r="A183" i="4" s="1"/>
  <c r="C183" i="4" l="1"/>
  <c r="B183" i="4"/>
  <c r="E183" i="4" l="1"/>
  <c r="H183" i="4" s="1"/>
  <c r="D183" i="4" l="1"/>
  <c r="F183" i="4" s="1"/>
  <c r="G183" i="4" s="1"/>
  <c r="A184" i="4" s="1"/>
  <c r="C184" i="4" l="1"/>
  <c r="B184" i="4"/>
  <c r="E184" i="4" l="1"/>
  <c r="H184" i="4" s="1"/>
  <c r="D184" i="4" l="1"/>
  <c r="F184" i="4" s="1"/>
  <c r="G184" i="4" s="1"/>
  <c r="A185" i="4" s="1"/>
  <c r="B185" i="4" l="1"/>
  <c r="C185" i="4"/>
  <c r="E185" i="4" s="1"/>
  <c r="H185" i="4" s="1"/>
  <c r="D185" i="4" l="1"/>
  <c r="F185" i="4" s="1"/>
  <c r="G185" i="4" s="1"/>
  <c r="A186" i="4" s="1"/>
  <c r="C186" i="4" l="1"/>
  <c r="B186" i="4"/>
  <c r="E186" i="4" l="1"/>
  <c r="H186" i="4" s="1"/>
  <c r="D186" i="4" l="1"/>
  <c r="F186" i="4" s="1"/>
  <c r="G186" i="4" s="1"/>
  <c r="A187" i="4" s="1"/>
  <c r="C187" i="4" l="1"/>
  <c r="B187" i="4"/>
  <c r="E187" i="4" l="1"/>
  <c r="H187" i="4" s="1"/>
  <c r="D187" i="4" l="1"/>
  <c r="F187" i="4" s="1"/>
  <c r="G187" i="4" s="1"/>
  <c r="A188" i="4" s="1"/>
  <c r="B188" i="4" l="1"/>
  <c r="C188" i="4"/>
  <c r="E188" i="4" s="1"/>
  <c r="H188" i="4" l="1"/>
  <c r="D188" i="4" s="1"/>
  <c r="F188" i="4" s="1"/>
  <c r="G188" i="4" s="1"/>
  <c r="A189" i="4" s="1"/>
  <c r="B189" i="4" l="1"/>
  <c r="C189" i="4"/>
  <c r="E189" i="4" s="1"/>
  <c r="H189" i="4" s="1"/>
  <c r="D189" i="4" l="1"/>
  <c r="F189" i="4" s="1"/>
  <c r="G189" i="4" s="1"/>
  <c r="A190" i="4" s="1"/>
  <c r="C190" i="4" s="1"/>
  <c r="B190" i="4" l="1"/>
  <c r="E190" i="4"/>
  <c r="H190" i="4" s="1"/>
  <c r="D190" i="4" l="1"/>
  <c r="F190" i="4" s="1"/>
  <c r="G190" i="4" s="1"/>
  <c r="A191" i="4" s="1"/>
  <c r="B191" i="4" l="1"/>
  <c r="C191" i="4"/>
  <c r="E191" i="4" l="1"/>
  <c r="H191" i="4" s="1"/>
  <c r="D191" i="4" s="1"/>
  <c r="F191" i="4" s="1"/>
  <c r="G191" i="4" s="1"/>
  <c r="A192" i="4" s="1"/>
  <c r="C192" i="4" l="1"/>
  <c r="E192" i="4" s="1"/>
  <c r="H192" i="4" s="1"/>
  <c r="B192" i="4"/>
  <c r="D192" i="4" l="1"/>
  <c r="F192" i="4" s="1"/>
  <c r="G192" i="4" s="1"/>
  <c r="A193" i="4" s="1"/>
  <c r="C193" i="4" l="1"/>
  <c r="B193" i="4"/>
  <c r="E193" i="4" l="1"/>
  <c r="H193" i="4" s="1"/>
  <c r="D193" i="4" l="1"/>
  <c r="F193" i="4" s="1"/>
  <c r="G193" i="4" s="1"/>
  <c r="A194" i="4" s="1"/>
  <c r="B194" i="4" s="1"/>
  <c r="C194" i="4" l="1"/>
  <c r="E194" i="4" l="1"/>
  <c r="H194" i="4" s="1"/>
  <c r="D194" i="4" s="1"/>
  <c r="F194" i="4" s="1"/>
  <c r="G194" i="4" s="1"/>
  <c r="A195" i="4" s="1"/>
  <c r="B195" i="4" s="1"/>
  <c r="C195" i="4" l="1"/>
  <c r="E195" i="4" l="1"/>
  <c r="H195" i="4" s="1"/>
  <c r="D195" i="4" s="1"/>
  <c r="F195" i="4" s="1"/>
  <c r="G195" i="4" s="1"/>
  <c r="A196" i="4" s="1"/>
  <c r="C196" i="4" l="1"/>
  <c r="E196" i="4" s="1"/>
  <c r="H196" i="4" s="1"/>
  <c r="B196" i="4"/>
  <c r="D196" i="4" l="1"/>
  <c r="F196" i="4" s="1"/>
  <c r="G196" i="4" s="1"/>
  <c r="A197" i="4" s="1"/>
  <c r="C197" i="4" s="1"/>
  <c r="B197" i="4" l="1"/>
  <c r="E197" i="4"/>
  <c r="H197" i="4" s="1"/>
  <c r="D197" i="4" s="1"/>
  <c r="F197" i="4" s="1"/>
  <c r="G197" i="4" s="1"/>
  <c r="A198" i="4" s="1"/>
  <c r="C198" i="4" l="1"/>
  <c r="E198" i="4" s="1"/>
  <c r="B198" i="4"/>
  <c r="H198" i="4" l="1"/>
  <c r="D198" i="4" s="1"/>
  <c r="F198" i="4" s="1"/>
  <c r="G198" i="4" s="1"/>
  <c r="A199" i="4" s="1"/>
  <c r="C199" i="4" l="1"/>
  <c r="B199" i="4"/>
  <c r="E199" i="4" l="1"/>
  <c r="H199" i="4" s="1"/>
  <c r="D199" i="4" l="1"/>
  <c r="F199" i="4" s="1"/>
  <c r="G199" i="4" s="1"/>
  <c r="A200" i="4" s="1"/>
  <c r="C200" i="4" l="1"/>
  <c r="E200" i="4" s="1"/>
  <c r="B200" i="4"/>
  <c r="H200" i="4" l="1"/>
  <c r="D200" i="4" s="1"/>
  <c r="F200" i="4" s="1"/>
  <c r="G200" i="4" s="1"/>
  <c r="A201" i="4" s="1"/>
  <c r="C201" i="4" l="1"/>
  <c r="B201" i="4"/>
  <c r="E201" i="4" l="1"/>
  <c r="H201" i="4" l="1"/>
  <c r="D201" i="4" s="1"/>
  <c r="F201" i="4" s="1"/>
  <c r="G201" i="4" s="1"/>
  <c r="A202" i="4" s="1"/>
  <c r="C202" i="4" l="1"/>
  <c r="B202" i="4"/>
  <c r="E202" i="4" l="1"/>
  <c r="H202" i="4" s="1"/>
  <c r="D202" i="4" l="1"/>
  <c r="F202" i="4" s="1"/>
  <c r="G202" i="4" s="1"/>
  <c r="A203" i="4" s="1"/>
  <c r="C203" i="4" l="1"/>
  <c r="E203" i="4" s="1"/>
  <c r="B203" i="4"/>
  <c r="H203" i="4" l="1"/>
  <c r="D203" i="4" s="1"/>
  <c r="F203" i="4" s="1"/>
  <c r="G203" i="4" s="1"/>
  <c r="A204" i="4" s="1"/>
  <c r="C204" i="4" l="1"/>
  <c r="B204" i="4"/>
  <c r="E204" i="4" l="1"/>
  <c r="H204" i="4" s="1"/>
  <c r="D204" i="4" l="1"/>
  <c r="F204" i="4" s="1"/>
  <c r="G204" i="4" s="1"/>
  <c r="A205" i="4" s="1"/>
  <c r="C205" i="4" l="1"/>
  <c r="E205" i="4" s="1"/>
  <c r="H205" i="4" s="1"/>
  <c r="B205" i="4"/>
  <c r="D205" i="4" l="1"/>
  <c r="F205" i="4" s="1"/>
  <c r="G205" i="4" s="1"/>
  <c r="A206" i="4" s="1"/>
  <c r="B206" i="4" l="1"/>
  <c r="C206" i="4"/>
  <c r="E206" i="4" l="1"/>
  <c r="H206" i="4" l="1"/>
  <c r="D206" i="4" s="1"/>
  <c r="F206" i="4" s="1"/>
  <c r="G206" i="4" s="1"/>
  <c r="A207" i="4" s="1"/>
  <c r="C207" i="4" l="1"/>
  <c r="B207" i="4"/>
  <c r="E207" i="4" l="1"/>
  <c r="H207" i="4" s="1"/>
  <c r="D207" i="4" s="1"/>
  <c r="F207" i="4" s="1"/>
  <c r="G207" i="4" s="1"/>
  <c r="A208" i="4" s="1"/>
  <c r="C208" i="4" l="1"/>
  <c r="B208" i="4"/>
  <c r="E208" i="4" l="1"/>
  <c r="H208" i="4" l="1"/>
  <c r="D208" i="4" s="1"/>
  <c r="F208" i="4" s="1"/>
  <c r="G208" i="4" s="1"/>
  <c r="A209" i="4" s="1"/>
  <c r="C209" i="4" l="1"/>
  <c r="B209" i="4"/>
  <c r="E209" i="4" l="1"/>
  <c r="H209" i="4" l="1"/>
  <c r="D209" i="4" s="1"/>
  <c r="F209" i="4" s="1"/>
  <c r="G209" i="4" s="1"/>
  <c r="A210" i="4" s="1"/>
  <c r="C210" i="4" l="1"/>
  <c r="E210" i="4" s="1"/>
  <c r="B210" i="4"/>
  <c r="H210" i="4" l="1"/>
  <c r="D210" i="4" s="1"/>
  <c r="F210" i="4" s="1"/>
  <c r="G210" i="4" s="1"/>
  <c r="A211" i="4" s="1"/>
  <c r="C211" i="4" s="1"/>
  <c r="E211" i="4" s="1"/>
  <c r="H211" i="4" s="1"/>
  <c r="B211" i="4" l="1"/>
  <c r="D211" i="4"/>
  <c r="F211" i="4" s="1"/>
  <c r="G211" i="4" s="1"/>
  <c r="A212" i="4" s="1"/>
  <c r="B212" i="4" l="1"/>
  <c r="C212" i="4"/>
  <c r="E212" i="4" s="1"/>
  <c r="H212" i="4" l="1"/>
  <c r="D212" i="4" s="1"/>
  <c r="F212" i="4" s="1"/>
  <c r="G212" i="4" s="1"/>
  <c r="A213" i="4" s="1"/>
  <c r="B213" i="4" l="1"/>
  <c r="C213" i="4"/>
  <c r="E213" i="4" l="1"/>
  <c r="H213" i="4" s="1"/>
  <c r="D213" i="4" l="1"/>
  <c r="F213" i="4" s="1"/>
  <c r="G213" i="4" s="1"/>
  <c r="A214" i="4" s="1"/>
  <c r="C214" i="4" l="1"/>
  <c r="B214" i="4"/>
  <c r="E214" i="4" l="1"/>
  <c r="H214" i="4" s="1"/>
  <c r="D214" i="4" l="1"/>
  <c r="F214" i="4" s="1"/>
  <c r="G214" i="4" s="1"/>
  <c r="A215" i="4" s="1"/>
  <c r="B215" i="4" l="1"/>
  <c r="C215" i="4"/>
  <c r="E215" i="4" l="1"/>
  <c r="H215" i="4" l="1"/>
  <c r="D215" i="4" s="1"/>
  <c r="F215" i="4" s="1"/>
  <c r="G215" i="4" s="1"/>
  <c r="A216" i="4" s="1"/>
  <c r="C216" i="4" l="1"/>
  <c r="B216" i="4"/>
  <c r="E216" i="4" l="1"/>
  <c r="H216" i="4" s="1"/>
  <c r="D216" i="4" l="1"/>
  <c r="F216" i="4" s="1"/>
  <c r="G216" i="4" s="1"/>
  <c r="A217" i="4" s="1"/>
  <c r="C217" i="4" l="1"/>
  <c r="B217" i="4"/>
  <c r="E217" i="4" l="1"/>
  <c r="H217" i="4" s="1"/>
  <c r="D217" i="4" l="1"/>
  <c r="F217" i="4" s="1"/>
  <c r="G217" i="4" s="1"/>
  <c r="A218" i="4" s="1"/>
  <c r="C218" i="4" s="1"/>
  <c r="E218" i="4" l="1"/>
  <c r="H218" i="4" s="1"/>
  <c r="D218" i="4" s="1"/>
  <c r="F218" i="4" s="1"/>
  <c r="G218" i="4" s="1"/>
  <c r="A219" i="4" s="1"/>
  <c r="B218" i="4"/>
  <c r="C219" i="4" l="1"/>
  <c r="B219" i="4"/>
  <c r="E219" i="4" l="1"/>
  <c r="H219" i="4" s="1"/>
  <c r="D219" i="4" l="1"/>
  <c r="F219" i="4" s="1"/>
  <c r="G219" i="4" s="1"/>
  <c r="A220" i="4" s="1"/>
  <c r="C220" i="4" l="1"/>
  <c r="B220" i="4"/>
  <c r="E220" i="4" l="1"/>
  <c r="H220" i="4" s="1"/>
  <c r="D220" i="4" l="1"/>
  <c r="F220" i="4" s="1"/>
  <c r="G220" i="4" s="1"/>
  <c r="A221" i="4" s="1"/>
  <c r="B221" i="4" l="1"/>
  <c r="C221" i="4"/>
  <c r="E221" i="4" s="1"/>
  <c r="H221" i="4" s="1"/>
  <c r="D221" i="4" l="1"/>
  <c r="F221" i="4" s="1"/>
  <c r="G221" i="4" s="1"/>
  <c r="A222" i="4" s="1"/>
  <c r="B222" i="4" l="1"/>
  <c r="C222" i="4"/>
  <c r="E222" i="4" s="1"/>
  <c r="H222" i="4" l="1"/>
  <c r="D222" i="4" s="1"/>
  <c r="F222" i="4" s="1"/>
  <c r="G222" i="4" s="1"/>
  <c r="A223" i="4" s="1"/>
  <c r="C223" i="4" l="1"/>
  <c r="B223" i="4"/>
  <c r="E223" i="4" l="1"/>
  <c r="H223" i="4" s="1"/>
  <c r="D223" i="4" l="1"/>
  <c r="F223" i="4" s="1"/>
  <c r="G223" i="4" s="1"/>
  <c r="A224" i="4" s="1"/>
  <c r="B224" i="4" l="1"/>
  <c r="C224" i="4"/>
  <c r="E224" i="4" l="1"/>
  <c r="H224" i="4" s="1"/>
  <c r="D224" i="4" s="1"/>
  <c r="F224" i="4" s="1"/>
  <c r="G224" i="4" s="1"/>
  <c r="A225" i="4" s="1"/>
  <c r="C225" i="4" l="1"/>
  <c r="E225" i="4" s="1"/>
  <c r="B225" i="4"/>
  <c r="H225" i="4" l="1"/>
  <c r="D225" i="4" s="1"/>
  <c r="F225" i="4" s="1"/>
  <c r="G225" i="4" s="1"/>
  <c r="A226" i="4" s="1"/>
  <c r="C226" i="4" l="1"/>
  <c r="E226" i="4" s="1"/>
  <c r="H226" i="4" s="1"/>
  <c r="D226" i="4" s="1"/>
  <c r="F226" i="4" s="1"/>
  <c r="B226" i="4"/>
  <c r="G226" i="4" l="1"/>
  <c r="A227" i="4" s="1"/>
  <c r="B227" i="4" l="1"/>
  <c r="C227" i="4"/>
  <c r="E227" i="4" s="1"/>
  <c r="H227" i="4" l="1"/>
  <c r="D227" i="4" s="1"/>
  <c r="F227" i="4" s="1"/>
  <c r="G227" i="4" s="1"/>
  <c r="A228" i="4" s="1"/>
  <c r="C228" i="4" l="1"/>
  <c r="B228" i="4"/>
  <c r="E228" i="4" l="1"/>
  <c r="H228" i="4" s="1"/>
  <c r="D228" i="4" s="1"/>
  <c r="F228" i="4" s="1"/>
  <c r="G228" i="4" s="1"/>
  <c r="A229" i="4" s="1"/>
  <c r="C229" i="4" l="1"/>
  <c r="B229" i="4"/>
  <c r="E229" i="4" l="1"/>
  <c r="H229" i="4" l="1"/>
  <c r="D229" i="4" s="1"/>
  <c r="F229" i="4" s="1"/>
  <c r="G229" i="4" s="1"/>
  <c r="A230" i="4" s="1"/>
  <c r="B230" i="4" l="1"/>
  <c r="C230" i="4"/>
  <c r="E230" i="4" l="1"/>
  <c r="H230" i="4" s="1"/>
  <c r="D230" i="4" l="1"/>
  <c r="F230" i="4" s="1"/>
  <c r="G230" i="4" s="1"/>
  <c r="A231" i="4" s="1"/>
  <c r="C231" i="4" l="1"/>
  <c r="E231" i="4" s="1"/>
  <c r="B231" i="4"/>
  <c r="H231" i="4" l="1"/>
  <c r="D231" i="4" s="1"/>
  <c r="F231" i="4" s="1"/>
  <c r="G231" i="4" s="1"/>
  <c r="A232" i="4" s="1"/>
  <c r="C232" i="4" l="1"/>
  <c r="B232" i="4"/>
  <c r="E232" i="4" l="1"/>
  <c r="H232" i="4" s="1"/>
  <c r="D232" i="4" l="1"/>
  <c r="F232" i="4" s="1"/>
  <c r="G232" i="4" s="1"/>
  <c r="A233" i="4" s="1"/>
  <c r="C233" i="4" l="1"/>
  <c r="B233" i="4"/>
  <c r="E233" i="4" l="1"/>
  <c r="H233" i="4" l="1"/>
  <c r="D233" i="4" s="1"/>
  <c r="F233" i="4" s="1"/>
  <c r="G233" i="4" s="1"/>
  <c r="A234" i="4" s="1"/>
  <c r="C234" i="4" l="1"/>
  <c r="B234" i="4"/>
  <c r="E234" i="4" l="1"/>
  <c r="H234" i="4" s="1"/>
  <c r="D234" i="4" l="1"/>
  <c r="F234" i="4" s="1"/>
  <c r="G234" i="4" s="1"/>
  <c r="A235" i="4" s="1"/>
  <c r="C235" i="4" l="1"/>
  <c r="B235" i="4"/>
  <c r="E235" i="4" l="1"/>
  <c r="H235" i="4" s="1"/>
  <c r="D235" i="4" s="1"/>
  <c r="F235" i="4" s="1"/>
  <c r="G235" i="4" s="1"/>
  <c r="A236" i="4" s="1"/>
  <c r="C236" i="4" l="1"/>
  <c r="E236" i="4" s="1"/>
  <c r="H236" i="4" s="1"/>
  <c r="B236" i="4"/>
  <c r="D236" i="4" l="1"/>
  <c r="F236" i="4" s="1"/>
  <c r="G236" i="4" s="1"/>
  <c r="A237" i="4" s="1"/>
  <c r="C237" i="4" l="1"/>
  <c r="E237" i="4" s="1"/>
  <c r="B237" i="4"/>
  <c r="H237" i="4" l="1"/>
  <c r="D237" i="4"/>
  <c r="F237" i="4" s="1"/>
  <c r="G237" i="4" s="1"/>
  <c r="A238" i="4" s="1"/>
  <c r="C238" i="4" l="1"/>
  <c r="E238" i="4" s="1"/>
  <c r="H238" i="4" s="1"/>
  <c r="B238" i="4"/>
  <c r="D238" i="4" l="1"/>
  <c r="F238" i="4" s="1"/>
  <c r="G238" i="4" s="1"/>
  <c r="A239" i="4" s="1"/>
  <c r="C239" i="4" l="1"/>
  <c r="E239" i="4" s="1"/>
  <c r="H239" i="4" s="1"/>
  <c r="B239" i="4"/>
  <c r="D239" i="4" l="1"/>
  <c r="F239" i="4" s="1"/>
  <c r="G239" i="4" s="1"/>
  <c r="A240" i="4" s="1"/>
  <c r="B240" i="4" l="1"/>
  <c r="C240" i="4"/>
  <c r="E240" i="4" l="1"/>
  <c r="H240" i="4" s="1"/>
  <c r="D240" i="4" l="1"/>
  <c r="F240" i="4" s="1"/>
  <c r="G240" i="4" s="1"/>
  <c r="A241" i="4" s="1"/>
  <c r="C241" i="4" l="1"/>
  <c r="E241" i="4" s="1"/>
  <c r="H241" i="4" s="1"/>
  <c r="B241" i="4"/>
  <c r="D241" i="4" l="1"/>
  <c r="F241" i="4" s="1"/>
  <c r="G241" i="4" s="1"/>
  <c r="A242" i="4" s="1"/>
  <c r="C242" i="4" l="1"/>
  <c r="B242" i="4"/>
  <c r="E242" i="4" l="1"/>
  <c r="H242" i="4" l="1"/>
  <c r="D242" i="4" s="1"/>
  <c r="F242" i="4" s="1"/>
  <c r="G242" i="4" s="1"/>
  <c r="A243" i="4" s="1"/>
  <c r="C243" i="4" l="1"/>
  <c r="B243" i="4"/>
  <c r="E243" i="4" l="1"/>
  <c r="H243" i="4" s="1"/>
  <c r="D243" i="4" l="1"/>
  <c r="F243" i="4" s="1"/>
  <c r="G243" i="4" s="1"/>
  <c r="A244" i="4" s="1"/>
  <c r="C244" i="4" l="1"/>
  <c r="B244" i="4"/>
  <c r="E244" i="4" l="1"/>
  <c r="H244" i="4" l="1"/>
  <c r="D244" i="4" s="1"/>
  <c r="F244" i="4" s="1"/>
  <c r="G244" i="4" s="1"/>
  <c r="A245" i="4" s="1"/>
  <c r="C245" i="4" l="1"/>
  <c r="E245" i="4" s="1"/>
  <c r="B245" i="4"/>
  <c r="H245" i="4" l="1"/>
  <c r="D245" i="4" s="1"/>
  <c r="F245" i="4" s="1"/>
  <c r="G245" i="4" s="1"/>
  <c r="A246" i="4" s="1"/>
  <c r="B246" i="4" l="1"/>
  <c r="C246" i="4"/>
  <c r="E246" i="4" s="1"/>
  <c r="H246" i="4" s="1"/>
  <c r="D246" i="4" l="1"/>
  <c r="F246" i="4" s="1"/>
  <c r="G246" i="4" s="1"/>
  <c r="A247" i="4" s="1"/>
  <c r="C247" i="4" l="1"/>
  <c r="E247" i="4" s="1"/>
  <c r="B247" i="4"/>
  <c r="H247" i="4" l="1"/>
  <c r="D247" i="4" s="1"/>
  <c r="F247" i="4" s="1"/>
  <c r="G247" i="4" s="1"/>
  <c r="A248" i="4" s="1"/>
  <c r="C248" i="4" l="1"/>
  <c r="E248" i="4" s="1"/>
  <c r="B248" i="4"/>
  <c r="H248" i="4" l="1"/>
  <c r="D248" i="4" s="1"/>
  <c r="F248" i="4" s="1"/>
  <c r="G248" i="4" s="1"/>
  <c r="A249" i="4" s="1"/>
  <c r="C249" i="4" l="1"/>
  <c r="B249" i="4"/>
  <c r="E249" i="4" l="1"/>
  <c r="H249" i="4" s="1"/>
  <c r="D249" i="4" l="1"/>
  <c r="F249" i="4" s="1"/>
  <c r="G249" i="4" s="1"/>
  <c r="A250" i="4" s="1"/>
  <c r="C250" i="4" s="1"/>
  <c r="B250" i="4" l="1"/>
  <c r="E250" i="4"/>
  <c r="H250" i="4" s="1"/>
  <c r="D250" i="4" l="1"/>
  <c r="F250" i="4" s="1"/>
  <c r="G250" i="4" s="1"/>
  <c r="A251" i="4" s="1"/>
  <c r="B251" i="4" l="1"/>
  <c r="C251" i="4"/>
  <c r="E251" i="4" s="1"/>
  <c r="H251" i="4" l="1"/>
  <c r="D251" i="4" s="1"/>
  <c r="F251" i="4" s="1"/>
  <c r="G251" i="4" s="1"/>
  <c r="A252" i="4" s="1"/>
  <c r="C252" i="4" l="1"/>
  <c r="B252" i="4"/>
  <c r="E252" i="4" l="1"/>
  <c r="H252" i="4" s="1"/>
  <c r="D252" i="4" l="1"/>
  <c r="F252" i="4" s="1"/>
  <c r="G252" i="4" s="1"/>
  <c r="A253" i="4" s="1"/>
  <c r="C253" i="4" l="1"/>
  <c r="B253" i="4"/>
  <c r="E253" i="4" l="1"/>
  <c r="H253" i="4" s="1"/>
  <c r="D253" i="4" l="1"/>
  <c r="F253" i="4" s="1"/>
  <c r="G253" i="4" s="1"/>
  <c r="A254" i="4" s="1"/>
  <c r="C254" i="4" s="1"/>
  <c r="B254" i="4" l="1"/>
  <c r="E254" i="4"/>
  <c r="H254" i="4" s="1"/>
  <c r="D254" i="4" s="1"/>
  <c r="F254" i="4" s="1"/>
  <c r="G254" i="4" s="1"/>
  <c r="A255" i="4" s="1"/>
  <c r="C255" i="4" l="1"/>
  <c r="B255" i="4"/>
  <c r="E255" i="4" l="1"/>
  <c r="H255" i="4" s="1"/>
  <c r="D255" i="4" l="1"/>
  <c r="F255" i="4" s="1"/>
  <c r="G255" i="4" s="1"/>
  <c r="A256" i="4" s="1"/>
  <c r="C256" i="4" l="1"/>
  <c r="B256" i="4"/>
  <c r="E256" i="4" l="1"/>
  <c r="H256" i="4" s="1"/>
  <c r="D256" i="4" l="1"/>
  <c r="F256" i="4" s="1"/>
  <c r="G256" i="4" s="1"/>
  <c r="A257" i="4" s="1"/>
  <c r="B257" i="4" l="1"/>
  <c r="C257" i="4"/>
  <c r="E257" i="4" l="1"/>
  <c r="H257" i="4" s="1"/>
  <c r="D257" i="4" l="1"/>
  <c r="F257" i="4" s="1"/>
  <c r="G257" i="4" s="1"/>
  <c r="A258" i="4" s="1"/>
  <c r="C258" i="4" s="1"/>
  <c r="B258" i="4" l="1"/>
  <c r="E258" i="4"/>
  <c r="H258" i="4" s="1"/>
  <c r="D258" i="4" l="1"/>
  <c r="F258" i="4" s="1"/>
  <c r="G258" i="4" s="1"/>
  <c r="A259" i="4" s="1"/>
  <c r="C259" i="4" l="1"/>
  <c r="B259" i="4"/>
  <c r="E259" i="4" l="1"/>
  <c r="H259" i="4" s="1"/>
  <c r="D259" i="4" l="1"/>
  <c r="F259" i="4" s="1"/>
  <c r="G259" i="4" s="1"/>
  <c r="A260" i="4" s="1"/>
  <c r="C260" i="4" s="1"/>
  <c r="B260" i="4" l="1"/>
  <c r="E260" i="4"/>
  <c r="H260" i="4" s="1"/>
  <c r="D260" i="4" s="1"/>
  <c r="F260" i="4" s="1"/>
  <c r="G260" i="4" s="1"/>
  <c r="A261" i="4" s="1"/>
  <c r="B261" i="4" l="1"/>
  <c r="C261" i="4"/>
  <c r="E261" i="4" l="1"/>
  <c r="H261" i="4" s="1"/>
  <c r="D261" i="4" l="1"/>
  <c r="F261" i="4" s="1"/>
  <c r="G261" i="4" s="1"/>
  <c r="A262" i="4" s="1"/>
  <c r="C262" i="4" l="1"/>
  <c r="B262" i="4"/>
  <c r="E262" i="4" l="1"/>
  <c r="H262" i="4" s="1"/>
  <c r="D262" i="4" l="1"/>
  <c r="F262" i="4" s="1"/>
  <c r="G262" i="4" s="1"/>
  <c r="A263" i="4" s="1"/>
  <c r="C263" i="4" l="1"/>
  <c r="B263" i="4"/>
  <c r="E263" i="4" l="1"/>
  <c r="H263" i="4" s="1"/>
  <c r="D263" i="4" l="1"/>
  <c r="F263" i="4" s="1"/>
  <c r="G263" i="4" s="1"/>
  <c r="A264" i="4" s="1"/>
  <c r="B264" i="4" l="1"/>
  <c r="C264" i="4"/>
  <c r="E264" i="4" l="1"/>
  <c r="H264" i="4" s="1"/>
  <c r="D264" i="4" s="1"/>
  <c r="F264" i="4" s="1"/>
  <c r="G264" i="4" s="1"/>
  <c r="A265" i="4" s="1"/>
  <c r="C265" i="4" l="1"/>
  <c r="B265" i="4"/>
  <c r="E265" i="4" l="1"/>
  <c r="H265" i="4" s="1"/>
  <c r="D265" i="4" l="1"/>
  <c r="F265" i="4" s="1"/>
  <c r="G265" i="4" s="1"/>
  <c r="A266" i="4" s="1"/>
  <c r="C266" i="4" s="1"/>
  <c r="B266" i="4" l="1"/>
  <c r="E266" i="4"/>
  <c r="H266" i="4" s="1"/>
  <c r="D266" i="4" l="1"/>
  <c r="F266" i="4" s="1"/>
  <c r="G266" i="4" s="1"/>
  <c r="A267" i="4" s="1"/>
  <c r="B267" i="4" s="1"/>
  <c r="C267" i="4" l="1"/>
  <c r="E267" i="4" s="1"/>
  <c r="H267" i="4" l="1"/>
  <c r="D267" i="4" s="1"/>
  <c r="F267" i="4" s="1"/>
  <c r="G267" i="4" s="1"/>
  <c r="A268" i="4" s="1"/>
  <c r="C268" i="4" l="1"/>
  <c r="B268" i="4"/>
  <c r="E268" i="4" l="1"/>
  <c r="H268" i="4" s="1"/>
  <c r="D268" i="4" l="1"/>
  <c r="F268" i="4" s="1"/>
  <c r="G268" i="4" s="1"/>
  <c r="A269" i="4" s="1"/>
  <c r="B269" i="4" l="1"/>
  <c r="C269" i="4"/>
  <c r="E269" i="4" l="1"/>
  <c r="H269" i="4" s="1"/>
  <c r="D269" i="4" l="1"/>
  <c r="F269" i="4" s="1"/>
  <c r="G269" i="4" s="1"/>
  <c r="A270" i="4" s="1"/>
  <c r="C270" i="4" l="1"/>
  <c r="B270" i="4"/>
  <c r="E270" i="4" l="1"/>
  <c r="H270" i="4" l="1"/>
  <c r="D270" i="4" s="1"/>
  <c r="F270" i="4" s="1"/>
  <c r="G270" i="4" s="1"/>
  <c r="A271" i="4" s="1"/>
  <c r="C271" i="4" l="1"/>
  <c r="B271" i="4"/>
  <c r="E271" i="4" l="1"/>
  <c r="H271" i="4" s="1"/>
  <c r="D271" i="4" l="1"/>
  <c r="F271" i="4" s="1"/>
  <c r="G271" i="4" s="1"/>
  <c r="A272" i="4" s="1"/>
  <c r="B272" i="4" l="1"/>
  <c r="C272" i="4"/>
  <c r="E272" i="4" s="1"/>
  <c r="H272" i="4" s="1"/>
  <c r="D272" i="4" l="1"/>
  <c r="F272" i="4" s="1"/>
  <c r="G272" i="4" s="1"/>
  <c r="A273" i="4" s="1"/>
  <c r="C273" i="4" l="1"/>
  <c r="B273" i="4"/>
  <c r="E273" i="4" l="1"/>
  <c r="H273" i="4" s="1"/>
  <c r="D273" i="4" l="1"/>
  <c r="F273" i="4" s="1"/>
  <c r="G273" i="4" s="1"/>
  <c r="A274" i="4" s="1"/>
  <c r="C274" i="4" l="1"/>
  <c r="E274" i="4" s="1"/>
  <c r="B274" i="4"/>
  <c r="H274" i="4" l="1"/>
  <c r="D274" i="4" s="1"/>
  <c r="F274" i="4" s="1"/>
  <c r="G274" i="4" s="1"/>
  <c r="A275" i="4" s="1"/>
  <c r="B275" i="4" l="1"/>
  <c r="C275" i="4"/>
  <c r="E275" i="4" l="1"/>
  <c r="H275" i="4" s="1"/>
  <c r="D275" i="4" l="1"/>
  <c r="F275" i="4" s="1"/>
  <c r="G275" i="4" s="1"/>
  <c r="A276" i="4" s="1"/>
  <c r="C276" i="4" l="1"/>
  <c r="B276" i="4"/>
  <c r="E276" i="4" l="1"/>
  <c r="H276" i="4" l="1"/>
  <c r="D276" i="4" s="1"/>
  <c r="F276" i="4" s="1"/>
  <c r="G276" i="4" s="1"/>
  <c r="A277" i="4" s="1"/>
  <c r="C277" i="4" l="1"/>
  <c r="E277" i="4" s="1"/>
  <c r="H277" i="4" s="1"/>
  <c r="B277" i="4"/>
  <c r="D277" i="4" l="1"/>
  <c r="F277" i="4" s="1"/>
  <c r="G277" i="4" s="1"/>
  <c r="A278" i="4" s="1"/>
  <c r="C278" i="4" s="1"/>
  <c r="E278" i="4" s="1"/>
  <c r="B278" i="4" l="1"/>
  <c r="H278" i="4"/>
  <c r="D278" i="4" s="1"/>
  <c r="F278" i="4" s="1"/>
  <c r="G278" i="4" s="1"/>
  <c r="A279" i="4" s="1"/>
  <c r="C279" i="4" l="1"/>
  <c r="E279" i="4" s="1"/>
  <c r="H279" i="4" s="1"/>
  <c r="B279" i="4"/>
  <c r="D279" i="4" l="1"/>
  <c r="F279" i="4" s="1"/>
  <c r="G279" i="4" s="1"/>
  <c r="A280" i="4" s="1"/>
  <c r="C280" i="4" l="1"/>
  <c r="B280" i="4"/>
  <c r="E280" i="4" l="1"/>
  <c r="H280" i="4" s="1"/>
  <c r="D280" i="4" l="1"/>
  <c r="F280" i="4" s="1"/>
  <c r="G280" i="4" s="1"/>
  <c r="A281" i="4" s="1"/>
  <c r="C281" i="4" l="1"/>
  <c r="B281" i="4"/>
  <c r="E281" i="4" l="1"/>
  <c r="H281" i="4" s="1"/>
  <c r="D281" i="4" s="1"/>
  <c r="F281" i="4" s="1"/>
  <c r="G281" i="4" s="1"/>
  <c r="A282" i="4" s="1"/>
  <c r="B282" i="4" l="1"/>
  <c r="C282" i="4"/>
  <c r="E282" i="4" l="1"/>
  <c r="H282" i="4" l="1"/>
  <c r="D282" i="4" s="1"/>
  <c r="F282" i="4" s="1"/>
  <c r="G282" i="4" s="1"/>
  <c r="A283" i="4" s="1"/>
  <c r="B283" i="4" l="1"/>
  <c r="C283" i="4"/>
  <c r="E283" i="4" s="1"/>
  <c r="H283" i="4" l="1"/>
  <c r="D283" i="4" s="1"/>
  <c r="F283" i="4" s="1"/>
  <c r="G283" i="4" s="1"/>
  <c r="A284" i="4" s="1"/>
  <c r="C284" i="4" l="1"/>
  <c r="E284" i="4" s="1"/>
  <c r="B284" i="4"/>
  <c r="H284" i="4" l="1"/>
  <c r="D284" i="4" s="1"/>
  <c r="F284" i="4" s="1"/>
  <c r="G284" i="4" s="1"/>
  <c r="A285" i="4" s="1"/>
  <c r="C285" i="4" l="1"/>
  <c r="E285" i="4" s="1"/>
  <c r="H285" i="4" s="1"/>
  <c r="B285" i="4"/>
  <c r="D285" i="4" l="1"/>
  <c r="F285" i="4" s="1"/>
  <c r="G285" i="4" s="1"/>
  <c r="A286" i="4" s="1"/>
  <c r="B286" i="4" l="1"/>
  <c r="C286" i="4"/>
  <c r="E286" i="4" l="1"/>
  <c r="H286" i="4" s="1"/>
  <c r="D286" i="4" l="1"/>
  <c r="F286" i="4" s="1"/>
  <c r="G286" i="4" s="1"/>
  <c r="A287" i="4" s="1"/>
  <c r="C287" i="4" l="1"/>
  <c r="B287" i="4"/>
  <c r="E287" i="4" l="1"/>
  <c r="H287" i="4" s="1"/>
  <c r="D287" i="4" l="1"/>
  <c r="F287" i="4" s="1"/>
  <c r="G287" i="4" s="1"/>
  <c r="A288" i="4" s="1"/>
  <c r="B288" i="4" l="1"/>
  <c r="C288" i="4"/>
  <c r="E288" i="4" s="1"/>
  <c r="H288" i="4" s="1"/>
  <c r="D288" i="4" s="1"/>
  <c r="F288" i="4" s="1"/>
  <c r="G288" i="4" s="1"/>
  <c r="A289" i="4" s="1"/>
  <c r="B289" i="4" l="1"/>
  <c r="C289" i="4"/>
  <c r="E289" i="4" l="1"/>
  <c r="H289" i="4" s="1"/>
  <c r="D289" i="4" s="1"/>
  <c r="F289" i="4" s="1"/>
  <c r="G289" i="4" s="1"/>
  <c r="A290" i="4" s="1"/>
  <c r="B290" i="4" s="1"/>
  <c r="C290" i="4" l="1"/>
  <c r="E290" i="4" s="1"/>
  <c r="H290" i="4" s="1"/>
  <c r="D290" i="4" l="1"/>
  <c r="F290" i="4" s="1"/>
  <c r="G290" i="4" s="1"/>
  <c r="A291" i="4" s="1"/>
  <c r="B291" i="4" l="1"/>
  <c r="C291" i="4"/>
  <c r="E291" i="4" s="1"/>
  <c r="H291" i="4" s="1"/>
  <c r="D291" i="4" s="1"/>
  <c r="F291" i="4" s="1"/>
  <c r="G291" i="4" s="1"/>
  <c r="A292" i="4" s="1"/>
  <c r="C292" i="4" l="1"/>
  <c r="E292" i="4" s="1"/>
  <c r="H292" i="4" s="1"/>
  <c r="D292" i="4" s="1"/>
  <c r="F292" i="4" s="1"/>
  <c r="G292" i="4" s="1"/>
  <c r="A293" i="4" s="1"/>
  <c r="B292" i="4"/>
  <c r="C293" i="4" l="1"/>
  <c r="E293" i="4" s="1"/>
  <c r="H293" i="4" s="1"/>
  <c r="D293" i="4" s="1"/>
  <c r="F293" i="4" s="1"/>
  <c r="G293" i="4" s="1"/>
  <c r="A294" i="4" s="1"/>
  <c r="B293" i="4"/>
  <c r="C294" i="4" l="1"/>
  <c r="E294" i="4" s="1"/>
  <c r="H294" i="4" s="1"/>
  <c r="B294" i="4"/>
  <c r="D294" i="4" l="1"/>
  <c r="F294" i="4" s="1"/>
  <c r="G294" i="4" s="1"/>
  <c r="A295" i="4" s="1"/>
  <c r="B295" i="4" s="1"/>
  <c r="C295" i="4" l="1"/>
  <c r="E295" i="4" s="1"/>
  <c r="H295" i="4" l="1"/>
  <c r="D295" i="4" s="1"/>
  <c r="F295" i="4" s="1"/>
  <c r="G295" i="4" s="1"/>
  <c r="A296" i="4" s="1"/>
  <c r="C296" i="4" s="1"/>
  <c r="B296" i="4" l="1"/>
  <c r="E296" i="4"/>
  <c r="H296" i="4" s="1"/>
  <c r="D296" i="4" l="1"/>
  <c r="F296" i="4" s="1"/>
  <c r="G296" i="4" s="1"/>
  <c r="A297" i="4" s="1"/>
  <c r="B297" i="4" l="1"/>
  <c r="C297" i="4"/>
  <c r="E297" i="4" l="1"/>
  <c r="H297" i="4" s="1"/>
  <c r="D297" i="4" l="1"/>
  <c r="F297" i="4" s="1"/>
  <c r="G297" i="4" s="1"/>
  <c r="A298" i="4" s="1"/>
  <c r="B298" i="4" s="1"/>
  <c r="C298" i="4" l="1"/>
  <c r="E298" i="4" s="1"/>
  <c r="H298" i="4" l="1"/>
  <c r="D298" i="4" s="1"/>
  <c r="F298" i="4" s="1"/>
  <c r="G298" i="4" s="1"/>
  <c r="A299" i="4" s="1"/>
  <c r="C299" i="4" s="1"/>
  <c r="B299" i="4" l="1"/>
  <c r="E299" i="4"/>
  <c r="H299" i="4" s="1"/>
  <c r="D299" i="4" s="1"/>
  <c r="F299" i="4" s="1"/>
  <c r="G299" i="4" s="1"/>
  <c r="A300" i="4" s="1"/>
  <c r="B300" i="4" l="1"/>
  <c r="C300" i="4"/>
  <c r="E300" i="4" l="1"/>
  <c r="H300" i="4" s="1"/>
  <c r="D300" i="4" l="1"/>
  <c r="F300" i="4" s="1"/>
  <c r="G300" i="4" s="1"/>
  <c r="A301" i="4" s="1"/>
  <c r="C301" i="4" s="1"/>
  <c r="B301" i="4" l="1"/>
  <c r="E301" i="4"/>
  <c r="H301" i="4" s="1"/>
  <c r="D301" i="4" l="1"/>
  <c r="F301" i="4" s="1"/>
  <c r="G301" i="4" s="1"/>
  <c r="A302" i="4" s="1"/>
  <c r="C302" i="4" l="1"/>
  <c r="B302" i="4"/>
  <c r="E302" i="4" l="1"/>
  <c r="H302" i="4" s="1"/>
  <c r="D302" i="4" l="1"/>
  <c r="F302" i="4" s="1"/>
  <c r="G302" i="4" s="1"/>
  <c r="A303" i="4" s="1"/>
  <c r="C303" i="4" l="1"/>
  <c r="B303" i="4"/>
  <c r="E303" i="4" l="1"/>
  <c r="H303" i="4" s="1"/>
  <c r="D303" i="4" s="1"/>
  <c r="F303" i="4" s="1"/>
  <c r="G303" i="4" s="1"/>
  <c r="A304" i="4" s="1"/>
  <c r="C304" i="4" l="1"/>
  <c r="B304" i="4"/>
  <c r="E304" i="4" l="1"/>
  <c r="H304" i="4" l="1"/>
  <c r="D304" i="4" s="1"/>
  <c r="F304" i="4" s="1"/>
  <c r="G304" i="4" s="1"/>
  <c r="A305" i="4" s="1"/>
  <c r="C305" i="4" s="1"/>
  <c r="B305" i="4" l="1"/>
  <c r="E305" i="4"/>
  <c r="H305" i="4" s="1"/>
  <c r="D305" i="4" l="1"/>
  <c r="F305" i="4" s="1"/>
  <c r="G305" i="4" s="1"/>
  <c r="A306" i="4" s="1"/>
  <c r="C306" i="4" l="1"/>
  <c r="E306" i="4" s="1"/>
  <c r="H306" i="4" s="1"/>
  <c r="D306" i="4" s="1"/>
  <c r="F306" i="4" s="1"/>
  <c r="G306" i="4" s="1"/>
  <c r="A307" i="4" s="1"/>
  <c r="B306" i="4"/>
  <c r="B307" i="4" l="1"/>
  <c r="C307" i="4"/>
  <c r="E307" i="4" s="1"/>
  <c r="H307" i="4" s="1"/>
  <c r="D307" i="4" l="1"/>
  <c r="F307" i="4" s="1"/>
  <c r="G307" i="4" s="1"/>
  <c r="A308" i="4" s="1"/>
  <c r="C308" i="4" l="1"/>
  <c r="B308" i="4"/>
  <c r="E308" i="4" l="1"/>
  <c r="H308" i="4" l="1"/>
  <c r="D308" i="4" s="1"/>
  <c r="F308" i="4" s="1"/>
  <c r="G308" i="4" s="1"/>
  <c r="A309" i="4" s="1"/>
  <c r="B309" i="4" l="1"/>
  <c r="C309" i="4"/>
  <c r="E309" i="4" s="1"/>
  <c r="H309" i="4" s="1"/>
  <c r="D309" i="4" l="1"/>
  <c r="F309" i="4" s="1"/>
  <c r="G309" i="4" s="1"/>
  <c r="A310" i="4" s="1"/>
  <c r="C310" i="4" l="1"/>
  <c r="E310" i="4" s="1"/>
  <c r="B310" i="4"/>
  <c r="H310" i="4" l="1"/>
  <c r="D310" i="4" s="1"/>
  <c r="F310" i="4" s="1"/>
  <c r="G310" i="4" s="1"/>
  <c r="A311" i="4" s="1"/>
  <c r="C311" i="4" s="1"/>
  <c r="B311" i="4" l="1"/>
  <c r="E311" i="4"/>
  <c r="H311" i="4" s="1"/>
  <c r="D311" i="4" s="1"/>
  <c r="F311" i="4" s="1"/>
  <c r="G311" i="4" s="1"/>
  <c r="A312" i="4" s="1"/>
  <c r="C312" i="4" l="1"/>
  <c r="E312" i="4" s="1"/>
  <c r="H312" i="4" s="1"/>
  <c r="B312" i="4"/>
  <c r="D312" i="4" l="1"/>
  <c r="F312" i="4" s="1"/>
  <c r="G312" i="4" s="1"/>
  <c r="A313" i="4" s="1"/>
  <c r="E313" i="4" l="1"/>
  <c r="C313" i="4"/>
  <c r="B313" i="4"/>
  <c r="H313" i="4"/>
  <c r="G313" i="4"/>
  <c r="A314" i="4" s="1"/>
  <c r="F313" i="4"/>
  <c r="D313" i="4"/>
  <c r="H314" i="4" l="1"/>
  <c r="G314" i="4"/>
  <c r="A315" i="4" s="1"/>
  <c r="B314" i="4"/>
  <c r="E314" i="4"/>
  <c r="F314" i="4"/>
  <c r="D314" i="4"/>
  <c r="C314" i="4"/>
  <c r="H315" i="4" l="1"/>
  <c r="G315" i="4"/>
  <c r="A316" i="4" s="1"/>
  <c r="F315" i="4"/>
  <c r="E315" i="4"/>
  <c r="D315" i="4"/>
  <c r="C315" i="4"/>
  <c r="B315" i="4"/>
  <c r="H316" i="4" l="1"/>
  <c r="G316" i="4"/>
  <c r="A317" i="4" s="1"/>
  <c r="D316" i="4"/>
  <c r="F316" i="4"/>
  <c r="E316" i="4"/>
  <c r="B316" i="4"/>
  <c r="C316" i="4"/>
  <c r="H317" i="4" l="1"/>
  <c r="G317" i="4"/>
  <c r="A318" i="4" s="1"/>
  <c r="F317" i="4"/>
  <c r="D317" i="4"/>
  <c r="E317" i="4"/>
  <c r="C317" i="4"/>
  <c r="B317" i="4"/>
  <c r="H318" i="4" l="1"/>
  <c r="G318" i="4"/>
  <c r="A319" i="4" s="1"/>
  <c r="F318" i="4"/>
  <c r="E318" i="4"/>
  <c r="D318" i="4"/>
  <c r="C318" i="4"/>
  <c r="B318" i="4"/>
  <c r="H319" i="4" l="1"/>
  <c r="C319" i="4"/>
  <c r="D319" i="4"/>
  <c r="B319" i="4"/>
  <c r="E319" i="4"/>
  <c r="G319" i="4"/>
  <c r="A320" i="4" s="1"/>
  <c r="F319" i="4"/>
  <c r="H320" i="4" l="1"/>
  <c r="E320" i="4"/>
  <c r="G320" i="4"/>
  <c r="A321" i="4" s="1"/>
  <c r="C320" i="4"/>
  <c r="B320" i="4"/>
  <c r="F320" i="4"/>
  <c r="D320" i="4"/>
  <c r="H321" i="4" l="1"/>
  <c r="G321" i="4"/>
  <c r="A322" i="4" s="1"/>
  <c r="F321" i="4"/>
  <c r="E321" i="4"/>
  <c r="D321" i="4"/>
  <c r="C321" i="4"/>
  <c r="B321" i="4"/>
  <c r="B322" i="4" l="1"/>
  <c r="F322" i="4"/>
  <c r="E322" i="4"/>
  <c r="D322" i="4"/>
  <c r="C322" i="4"/>
  <c r="G322" i="4"/>
  <c r="A323" i="4" s="1"/>
  <c r="H322" i="4"/>
  <c r="H323" i="4" l="1"/>
  <c r="D323" i="4"/>
  <c r="G323" i="4"/>
  <c r="A324" i="4" s="1"/>
  <c r="F323" i="4"/>
  <c r="E323" i="4"/>
  <c r="C323" i="4"/>
  <c r="B323" i="4"/>
  <c r="H324" i="4" l="1"/>
  <c r="G324" i="4"/>
  <c r="A325" i="4" s="1"/>
  <c r="F324" i="4"/>
  <c r="E324" i="4"/>
  <c r="D324" i="4"/>
  <c r="C324" i="4"/>
  <c r="B324" i="4"/>
  <c r="C325" i="4" l="1"/>
  <c r="B325" i="4"/>
  <c r="G325" i="4"/>
  <c r="A326" i="4" s="1"/>
  <c r="H325" i="4"/>
  <c r="E325" i="4"/>
  <c r="D325" i="4"/>
  <c r="F325" i="4"/>
  <c r="C326" i="4" l="1"/>
  <c r="B326" i="4"/>
  <c r="D326" i="4"/>
  <c r="G326" i="4"/>
  <c r="A327" i="4" s="1"/>
  <c r="E326" i="4"/>
  <c r="F326" i="4"/>
  <c r="H326" i="4"/>
  <c r="H327" i="4" l="1"/>
  <c r="G327" i="4"/>
  <c r="A328" i="4" s="1"/>
  <c r="F327" i="4"/>
  <c r="E327" i="4"/>
  <c r="D327" i="4"/>
  <c r="C327" i="4"/>
  <c r="B327" i="4"/>
  <c r="D328" i="4" l="1"/>
  <c r="C328" i="4"/>
  <c r="B328" i="4"/>
  <c r="G328" i="4"/>
  <c r="A329" i="4" s="1"/>
  <c r="E328" i="4"/>
  <c r="H328" i="4"/>
  <c r="F328" i="4"/>
  <c r="H329" i="4" l="1"/>
  <c r="D329" i="4"/>
  <c r="G329" i="4"/>
  <c r="A330" i="4" s="1"/>
  <c r="E329" i="4"/>
  <c r="F329" i="4"/>
  <c r="C329" i="4"/>
  <c r="B329" i="4"/>
  <c r="H330" i="4" l="1"/>
  <c r="G330" i="4"/>
  <c r="A331" i="4" s="1"/>
  <c r="F330" i="4"/>
  <c r="E330" i="4"/>
  <c r="D330" i="4"/>
  <c r="C330" i="4"/>
  <c r="B330" i="4"/>
  <c r="E331" i="4" l="1"/>
  <c r="D331" i="4"/>
  <c r="C331" i="4"/>
  <c r="B331" i="4"/>
  <c r="H331" i="4"/>
  <c r="G331" i="4"/>
  <c r="A332" i="4" s="1"/>
  <c r="F331" i="4"/>
  <c r="D332" i="4" l="1"/>
  <c r="H332" i="4"/>
  <c r="G332" i="4"/>
  <c r="A333" i="4" s="1"/>
  <c r="F332" i="4"/>
  <c r="E332" i="4"/>
  <c r="C332" i="4"/>
  <c r="B332" i="4"/>
  <c r="H333" i="4" l="1"/>
  <c r="G333" i="4"/>
  <c r="A334" i="4" s="1"/>
  <c r="F333" i="4"/>
  <c r="E333" i="4"/>
  <c r="B333" i="4"/>
  <c r="C333" i="4"/>
  <c r="D333" i="4"/>
  <c r="F334" i="4" l="1"/>
  <c r="E334" i="4"/>
  <c r="D334" i="4"/>
  <c r="C334" i="4"/>
  <c r="B334" i="4"/>
  <c r="H334" i="4"/>
  <c r="G334" i="4"/>
  <c r="A335" i="4" s="1"/>
  <c r="F335" i="4" l="1"/>
  <c r="E335" i="4"/>
  <c r="B335" i="4"/>
  <c r="H335" i="4"/>
  <c r="G335" i="4"/>
  <c r="A336" i="4" s="1"/>
  <c r="D335" i="4"/>
  <c r="C335" i="4"/>
  <c r="H336" i="4" l="1"/>
  <c r="G336" i="4"/>
  <c r="A337" i="4" s="1"/>
  <c r="E336" i="4"/>
  <c r="F336" i="4"/>
  <c r="D336" i="4"/>
  <c r="C336" i="4"/>
  <c r="B336" i="4"/>
  <c r="G337" i="4" l="1"/>
  <c r="A338" i="4" s="1"/>
  <c r="F337" i="4"/>
  <c r="E337" i="4"/>
  <c r="D337" i="4"/>
  <c r="C337" i="4"/>
  <c r="B337" i="4"/>
  <c r="H337" i="4"/>
  <c r="G338" i="4" l="1"/>
  <c r="A339" i="4" s="1"/>
  <c r="E338" i="4"/>
  <c r="D338" i="4"/>
  <c r="C338" i="4"/>
  <c r="B338" i="4"/>
  <c r="F338" i="4"/>
  <c r="H338" i="4"/>
  <c r="H339" i="4" l="1"/>
  <c r="G339" i="4"/>
  <c r="A340" i="4" s="1"/>
  <c r="F339" i="4"/>
  <c r="C339" i="4"/>
  <c r="D339" i="4"/>
  <c r="B339" i="4"/>
  <c r="E339" i="4"/>
  <c r="H340" i="4" l="1"/>
  <c r="G340" i="4"/>
  <c r="A341" i="4" s="1"/>
  <c r="F340" i="4"/>
  <c r="E340" i="4"/>
  <c r="D340" i="4"/>
  <c r="C340" i="4"/>
  <c r="B340" i="4"/>
  <c r="F341" i="4" l="1"/>
  <c r="D341" i="4"/>
  <c r="H341" i="4"/>
  <c r="E341" i="4"/>
  <c r="B341" i="4"/>
  <c r="G341" i="4"/>
  <c r="A342" i="4" s="1"/>
  <c r="C341" i="4"/>
  <c r="H342" i="4" l="1"/>
  <c r="C342" i="4"/>
  <c r="G342" i="4"/>
  <c r="A343" i="4" s="1"/>
  <c r="F342" i="4"/>
  <c r="E342" i="4"/>
  <c r="D342" i="4"/>
  <c r="B342" i="4"/>
  <c r="H343" i="4" l="1"/>
  <c r="G343" i="4"/>
  <c r="A344" i="4" s="1"/>
  <c r="F343" i="4"/>
  <c r="E343" i="4"/>
  <c r="D343" i="4"/>
  <c r="C343" i="4"/>
  <c r="B343" i="4"/>
  <c r="H344" i="4" l="1"/>
  <c r="E344" i="4"/>
  <c r="B344" i="4"/>
  <c r="G344" i="4"/>
  <c r="A345" i="4" s="1"/>
  <c r="D344" i="4"/>
  <c r="F344" i="4"/>
  <c r="C344" i="4"/>
  <c r="H345" i="4" l="1"/>
  <c r="F345" i="4"/>
  <c r="E345" i="4"/>
  <c r="G345" i="4"/>
  <c r="A346" i="4" s="1"/>
  <c r="C345" i="4"/>
  <c r="B345" i="4"/>
  <c r="D345" i="4"/>
  <c r="H346" i="4" l="1"/>
  <c r="G346" i="4"/>
  <c r="A347" i="4" s="1"/>
  <c r="F346" i="4"/>
  <c r="E346" i="4"/>
  <c r="D346" i="4"/>
  <c r="C346" i="4"/>
  <c r="B346" i="4"/>
  <c r="B347" i="4" l="1"/>
  <c r="D347" i="4"/>
  <c r="C347" i="4"/>
  <c r="H347" i="4"/>
  <c r="E347" i="4"/>
  <c r="G347" i="4"/>
  <c r="A348" i="4" s="1"/>
  <c r="F347" i="4"/>
  <c r="G348" i="4" l="1"/>
  <c r="A349" i="4" s="1"/>
  <c r="F348" i="4"/>
  <c r="B348" i="4"/>
  <c r="H348" i="4"/>
  <c r="E348" i="4"/>
  <c r="C348" i="4"/>
  <c r="D348" i="4"/>
  <c r="H349" i="4" l="1"/>
  <c r="G349" i="4"/>
  <c r="A350" i="4" s="1"/>
  <c r="F349" i="4"/>
  <c r="E349" i="4"/>
  <c r="D349" i="4"/>
  <c r="C349" i="4"/>
  <c r="B349" i="4"/>
  <c r="D350" i="4" l="1"/>
  <c r="C350" i="4"/>
  <c r="B350" i="4"/>
  <c r="F350" i="4"/>
  <c r="E350" i="4"/>
  <c r="H350" i="4"/>
  <c r="G350" i="4"/>
  <c r="A351" i="4" s="1"/>
  <c r="G351" i="4" l="1"/>
  <c r="A352" i="4" s="1"/>
  <c r="H351" i="4"/>
  <c r="F351" i="4"/>
  <c r="B351" i="4"/>
  <c r="D351" i="4"/>
  <c r="E351" i="4"/>
  <c r="C351" i="4"/>
  <c r="B352" i="4" l="1"/>
  <c r="H352" i="4"/>
  <c r="G352" i="4"/>
  <c r="A353" i="4" s="1"/>
  <c r="F352" i="4"/>
  <c r="D352" i="4"/>
  <c r="C352" i="4"/>
  <c r="E352" i="4"/>
  <c r="F353" i="4" l="1"/>
  <c r="E353" i="4"/>
  <c r="D353" i="4"/>
  <c r="C353" i="4"/>
  <c r="B353" i="4"/>
  <c r="H353" i="4"/>
  <c r="G353" i="4"/>
  <c r="A354" i="4" s="1"/>
  <c r="G354" i="4" l="1"/>
  <c r="A355" i="4" s="1"/>
  <c r="F354" i="4"/>
  <c r="E354" i="4"/>
  <c r="B354" i="4"/>
  <c r="C354" i="4"/>
  <c r="H354" i="4"/>
  <c r="D354" i="4"/>
  <c r="C355" i="4" l="1"/>
  <c r="H355" i="4"/>
  <c r="G355" i="4"/>
  <c r="A356" i="4" s="1"/>
  <c r="F355" i="4"/>
  <c r="E355" i="4"/>
  <c r="D355" i="4"/>
  <c r="B355" i="4"/>
  <c r="H356" i="4" l="1"/>
  <c r="G356" i="4"/>
  <c r="A357" i="4" s="1"/>
  <c r="F356" i="4"/>
  <c r="E356" i="4"/>
  <c r="D356" i="4"/>
  <c r="C356" i="4"/>
  <c r="B356" i="4"/>
  <c r="G357" i="4" l="1"/>
  <c r="A358" i="4" s="1"/>
  <c r="H357" i="4"/>
  <c r="F357" i="4"/>
  <c r="E357" i="4"/>
  <c r="D357" i="4"/>
  <c r="C357" i="4"/>
  <c r="B357" i="4"/>
  <c r="D358" i="4" l="1"/>
  <c r="F358" i="4"/>
  <c r="E358" i="4"/>
  <c r="B358" i="4"/>
  <c r="H358" i="4"/>
  <c r="G358" i="4"/>
  <c r="A359" i="4" s="1"/>
  <c r="C358" i="4"/>
  <c r="H359" i="4" l="1"/>
  <c r="G359" i="4"/>
  <c r="A360" i="4" s="1"/>
  <c r="F359" i="4"/>
  <c r="E359" i="4"/>
  <c r="D359" i="4"/>
  <c r="C359" i="4"/>
  <c r="B359" i="4"/>
  <c r="G360" i="4" l="1"/>
  <c r="A361" i="4" s="1"/>
  <c r="B360" i="4"/>
  <c r="E360" i="4"/>
  <c r="F360" i="4"/>
  <c r="C360" i="4"/>
  <c r="D360" i="4"/>
  <c r="H360" i="4"/>
  <c r="E361" i="4" l="1"/>
  <c r="C361" i="4"/>
  <c r="H361" i="4"/>
  <c r="G361" i="4"/>
  <c r="A362" i="4" s="1"/>
  <c r="F361" i="4"/>
  <c r="D361" i="4"/>
  <c r="B361" i="4"/>
  <c r="H362" i="4" l="1"/>
  <c r="G362" i="4"/>
  <c r="A363" i="4" s="1"/>
  <c r="F362" i="4"/>
  <c r="E362" i="4"/>
  <c r="D362" i="4"/>
  <c r="B362" i="4"/>
  <c r="C362" i="4"/>
  <c r="G363" i="4" l="1"/>
  <c r="A364" i="4" s="1"/>
  <c r="D363" i="4"/>
  <c r="C363" i="4"/>
  <c r="B363" i="4"/>
  <c r="F363" i="4"/>
  <c r="H363" i="4"/>
  <c r="E363" i="4"/>
  <c r="F364" i="4" l="1"/>
  <c r="E364" i="4"/>
  <c r="D364" i="4"/>
  <c r="H364" i="4"/>
  <c r="C364" i="4"/>
  <c r="B364" i="4"/>
  <c r="G364" i="4"/>
  <c r="A365" i="4" s="1"/>
  <c r="H365" i="4" l="1"/>
  <c r="G365" i="4"/>
  <c r="A366" i="4" s="1"/>
  <c r="E365" i="4"/>
  <c r="D365" i="4"/>
  <c r="C365" i="4"/>
  <c r="F365" i="4"/>
  <c r="B365" i="4"/>
  <c r="G366" i="4" l="1"/>
  <c r="A367" i="4" s="1"/>
  <c r="F366" i="4"/>
  <c r="E366" i="4"/>
  <c r="D366" i="4"/>
  <c r="C366" i="4"/>
  <c r="B366" i="4"/>
  <c r="H366" i="4"/>
  <c r="G367" i="4" l="1"/>
  <c r="A368" i="4" s="1"/>
  <c r="H367" i="4"/>
  <c r="E367" i="4"/>
  <c r="F367" i="4"/>
  <c r="D367" i="4"/>
  <c r="B367" i="4"/>
  <c r="C367" i="4"/>
  <c r="H368" i="4" l="1"/>
  <c r="G368" i="4"/>
  <c r="A369" i="4" s="1"/>
  <c r="D368" i="4"/>
  <c r="F368" i="4"/>
  <c r="E368" i="4"/>
  <c r="C368" i="4"/>
  <c r="B368" i="4"/>
  <c r="G369" i="4" l="1"/>
  <c r="A370" i="4" s="1"/>
  <c r="H369" i="4"/>
  <c r="F369" i="4"/>
  <c r="E369" i="4"/>
  <c r="D369" i="4"/>
  <c r="C369" i="4"/>
  <c r="B369" i="4"/>
  <c r="H370" i="4" l="1"/>
  <c r="G370" i="4"/>
  <c r="A371" i="4" s="1"/>
  <c r="B370" i="4"/>
  <c r="F370" i="4"/>
  <c r="E370" i="4"/>
  <c r="D370" i="4"/>
  <c r="C370" i="4"/>
  <c r="E371" i="4" l="1"/>
  <c r="F371" i="4"/>
  <c r="D371" i="4"/>
  <c r="C371" i="4"/>
  <c r="H371" i="4"/>
  <c r="G371" i="4"/>
  <c r="A372" i="4" s="1"/>
  <c r="B371" i="4"/>
  <c r="G372" i="4" l="1"/>
  <c r="A373" i="4" s="1"/>
  <c r="H372" i="4"/>
  <c r="F372" i="4"/>
  <c r="E372" i="4"/>
  <c r="D372" i="4"/>
  <c r="C372" i="4"/>
  <c r="B372" i="4"/>
  <c r="C373" i="4" l="1"/>
  <c r="B373" i="4"/>
  <c r="G373" i="4"/>
  <c r="A374" i="4" s="1"/>
  <c r="H373" i="4"/>
  <c r="E373" i="4"/>
  <c r="F373" i="4"/>
  <c r="D373" i="4"/>
  <c r="D374" i="4" l="1"/>
  <c r="C374" i="4"/>
  <c r="H374" i="4"/>
  <c r="B374" i="4"/>
  <c r="G374" i="4"/>
  <c r="A375" i="4" s="1"/>
  <c r="F374" i="4"/>
  <c r="E374" i="4"/>
  <c r="G375" i="4" l="1"/>
  <c r="A376" i="4" s="1"/>
  <c r="H375" i="4"/>
  <c r="F375" i="4"/>
  <c r="E375" i="4"/>
  <c r="B375" i="4"/>
  <c r="D375" i="4"/>
  <c r="C375" i="4"/>
  <c r="E376" i="4" l="1"/>
  <c r="D376" i="4"/>
  <c r="C376" i="4"/>
  <c r="B376" i="4"/>
  <c r="G376" i="4"/>
  <c r="A377" i="4" s="1"/>
  <c r="H376" i="4"/>
  <c r="F376" i="4"/>
  <c r="B377" i="4" l="1"/>
  <c r="F377" i="4"/>
  <c r="E377" i="4"/>
  <c r="D377" i="4"/>
  <c r="H377" i="4"/>
  <c r="G377" i="4"/>
  <c r="A378" i="4" s="1"/>
  <c r="C377" i="4"/>
  <c r="G378" i="4" l="1"/>
  <c r="A379" i="4" s="1"/>
  <c r="H378" i="4"/>
  <c r="F378" i="4"/>
  <c r="E378" i="4"/>
  <c r="B378" i="4"/>
  <c r="D378" i="4"/>
  <c r="C378" i="4"/>
  <c r="G379" i="4" l="1"/>
  <c r="A380" i="4" s="1"/>
  <c r="F379" i="4"/>
  <c r="E379" i="4"/>
  <c r="D379" i="4"/>
  <c r="C379" i="4"/>
  <c r="B379" i="4"/>
  <c r="H379" i="4"/>
  <c r="C380" i="4" l="1"/>
  <c r="B380" i="4"/>
  <c r="G380" i="4"/>
  <c r="A381" i="4" s="1"/>
  <c r="H380" i="4"/>
  <c r="F380" i="4"/>
  <c r="E380" i="4"/>
  <c r="D380" i="4"/>
  <c r="G381" i="4" l="1"/>
  <c r="A382" i="4" s="1"/>
  <c r="F381" i="4"/>
  <c r="E381" i="4"/>
  <c r="D381" i="4"/>
  <c r="C381" i="4"/>
  <c r="B381" i="4"/>
  <c r="H381" i="4"/>
  <c r="H382" i="4" l="1"/>
  <c r="G382" i="4"/>
  <c r="A383" i="4" s="1"/>
  <c r="F382" i="4"/>
  <c r="E382" i="4"/>
  <c r="D382" i="4"/>
  <c r="C382" i="4"/>
  <c r="B382" i="4"/>
  <c r="D383" i="4" l="1"/>
  <c r="F383" i="4"/>
  <c r="G383" i="4"/>
  <c r="A384" i="4" s="1"/>
  <c r="E383" i="4"/>
  <c r="C383" i="4"/>
  <c r="B383" i="4"/>
  <c r="H383" i="4"/>
  <c r="G384" i="4" l="1"/>
  <c r="A385" i="4" s="1"/>
  <c r="B384" i="4"/>
  <c r="F384" i="4"/>
  <c r="H384" i="4"/>
  <c r="C384" i="4"/>
  <c r="E384" i="4"/>
  <c r="D384" i="4"/>
  <c r="H385" i="4" l="1"/>
  <c r="G385" i="4"/>
  <c r="A386" i="4" s="1"/>
  <c r="F385" i="4"/>
  <c r="E385" i="4"/>
  <c r="D385" i="4"/>
  <c r="C385" i="4"/>
  <c r="B385" i="4"/>
  <c r="E386" i="4" l="1"/>
  <c r="C386" i="4"/>
  <c r="B386" i="4"/>
  <c r="F386" i="4"/>
  <c r="D386" i="4"/>
  <c r="G386" i="4"/>
  <c r="A387" i="4" s="1"/>
  <c r="H386" i="4"/>
  <c r="G387" i="4" l="1"/>
  <c r="A388" i="4" s="1"/>
  <c r="D387" i="4"/>
  <c r="H387" i="4"/>
  <c r="F387" i="4"/>
  <c r="E387" i="4"/>
  <c r="C387" i="4"/>
  <c r="B387" i="4"/>
  <c r="H388" i="4" l="1"/>
  <c r="G388" i="4"/>
  <c r="A389" i="4" s="1"/>
  <c r="F388" i="4"/>
  <c r="E388" i="4"/>
  <c r="D388" i="4"/>
  <c r="C388" i="4"/>
  <c r="B388" i="4"/>
  <c r="F389" i="4" l="1"/>
  <c r="E389" i="4"/>
  <c r="D389" i="4"/>
  <c r="C389" i="4"/>
  <c r="B389" i="4"/>
  <c r="H389" i="4"/>
  <c r="G389" i="4"/>
  <c r="A390" i="4" s="1"/>
  <c r="G390" i="4" l="1"/>
  <c r="A391" i="4" s="1"/>
  <c r="E390" i="4"/>
  <c r="D390" i="4"/>
  <c r="H390" i="4"/>
  <c r="B390" i="4"/>
  <c r="C390" i="4"/>
  <c r="F390" i="4"/>
  <c r="H391" i="4" l="1"/>
  <c r="G391" i="4"/>
  <c r="A392" i="4" s="1"/>
  <c r="C391" i="4"/>
  <c r="F391" i="4"/>
  <c r="E391" i="4"/>
  <c r="D391" i="4"/>
  <c r="B391" i="4"/>
  <c r="G392" i="4" l="1"/>
  <c r="A393" i="4" s="1"/>
  <c r="H392" i="4"/>
  <c r="F392" i="4"/>
  <c r="E392" i="4"/>
  <c r="D392" i="4"/>
  <c r="C392" i="4"/>
  <c r="B392" i="4"/>
  <c r="G393" i="4" l="1"/>
  <c r="A394" i="4" s="1"/>
  <c r="H393" i="4"/>
  <c r="D393" i="4"/>
  <c r="B393" i="4"/>
  <c r="F393" i="4"/>
  <c r="C393" i="4"/>
  <c r="E393" i="4"/>
  <c r="H394" i="4" l="1"/>
  <c r="G394" i="4"/>
  <c r="A395" i="4" s="1"/>
  <c r="C394" i="4"/>
  <c r="F394" i="4"/>
  <c r="E394" i="4"/>
  <c r="B394" i="4"/>
  <c r="D394" i="4"/>
  <c r="H395" i="4" l="1"/>
  <c r="G395" i="4"/>
  <c r="A396" i="4" s="1"/>
  <c r="F395" i="4"/>
  <c r="E395" i="4"/>
  <c r="D395" i="4"/>
  <c r="C395" i="4"/>
  <c r="B395" i="4"/>
  <c r="G396" i="4" l="1"/>
  <c r="A397" i="4" s="1"/>
  <c r="B396" i="4"/>
  <c r="D396" i="4"/>
  <c r="C396" i="4"/>
  <c r="E396" i="4"/>
  <c r="H396" i="4"/>
  <c r="F396" i="4"/>
  <c r="G397" i="4" l="1"/>
  <c r="A398" i="4" s="1"/>
  <c r="C397" i="4"/>
  <c r="F397" i="4"/>
  <c r="H397" i="4"/>
  <c r="B397" i="4"/>
  <c r="E397" i="4"/>
  <c r="D397" i="4"/>
  <c r="H398" i="4" l="1"/>
  <c r="G398" i="4"/>
  <c r="A399" i="4" s="1"/>
  <c r="F398" i="4"/>
  <c r="E398" i="4"/>
  <c r="D398" i="4"/>
  <c r="C398" i="4"/>
  <c r="B398" i="4"/>
  <c r="G399" i="4" l="1"/>
  <c r="A400" i="4" s="1"/>
  <c r="D399" i="4"/>
  <c r="C399" i="4"/>
  <c r="B399" i="4"/>
  <c r="E399" i="4"/>
  <c r="H399" i="4"/>
  <c r="F399" i="4"/>
  <c r="H400" i="4" l="1"/>
  <c r="G400" i="4"/>
  <c r="A401" i="4" s="1"/>
  <c r="C400" i="4"/>
  <c r="F400" i="4"/>
  <c r="E400" i="4"/>
  <c r="D400" i="4"/>
  <c r="B400" i="4"/>
  <c r="H401" i="4" l="1"/>
  <c r="G401" i="4"/>
  <c r="A402" i="4" s="1"/>
  <c r="F401" i="4"/>
  <c r="E401" i="4"/>
  <c r="D401" i="4"/>
  <c r="C401" i="4"/>
  <c r="B401" i="4"/>
  <c r="G402" i="4" l="1"/>
  <c r="A403" i="4" s="1"/>
  <c r="B402" i="4"/>
  <c r="F402" i="4"/>
  <c r="E402" i="4"/>
  <c r="D402" i="4"/>
  <c r="C402" i="4"/>
  <c r="H402" i="4"/>
  <c r="G403" i="4" l="1"/>
  <c r="A404" i="4" s="1"/>
  <c r="F403" i="4"/>
  <c r="C403" i="4"/>
  <c r="H403" i="4"/>
  <c r="E403" i="4"/>
  <c r="D403" i="4"/>
  <c r="B403" i="4"/>
  <c r="H404" i="4" l="1"/>
  <c r="F404" i="4"/>
  <c r="E404" i="4"/>
  <c r="D404" i="4"/>
  <c r="G404" i="4"/>
  <c r="A405" i="4" s="1"/>
  <c r="B404" i="4"/>
  <c r="C404" i="4"/>
  <c r="G405" i="4" l="1"/>
  <c r="A406" i="4" s="1"/>
  <c r="C405" i="4"/>
  <c r="H405" i="4"/>
  <c r="F405" i="4"/>
  <c r="E405" i="4"/>
  <c r="D405" i="4"/>
  <c r="B405" i="4"/>
  <c r="H406" i="4" l="1"/>
  <c r="G406" i="4"/>
  <c r="A407" i="4" s="1"/>
  <c r="C406" i="4"/>
  <c r="D406" i="4"/>
  <c r="B406" i="4"/>
  <c r="F406" i="4"/>
  <c r="E406" i="4"/>
  <c r="H407" i="4" l="1"/>
  <c r="E407" i="4"/>
  <c r="D407" i="4"/>
  <c r="G407" i="4"/>
  <c r="A408" i="4" s="1"/>
  <c r="F407" i="4"/>
  <c r="C407" i="4"/>
  <c r="B407" i="4"/>
  <c r="G408" i="4" l="1"/>
  <c r="A409" i="4" s="1"/>
  <c r="D408" i="4"/>
  <c r="H408" i="4"/>
  <c r="F408" i="4"/>
  <c r="E408" i="4"/>
  <c r="C408" i="4"/>
  <c r="B408" i="4"/>
  <c r="C409" i="4" l="1"/>
  <c r="B409" i="4"/>
  <c r="G409" i="4"/>
  <c r="A410" i="4" s="1"/>
  <c r="F409" i="4"/>
  <c r="E409" i="4"/>
  <c r="D409" i="4"/>
  <c r="H409" i="4"/>
  <c r="H410" i="4" l="1"/>
  <c r="G410" i="4"/>
  <c r="A411" i="4" s="1"/>
  <c r="F410" i="4"/>
  <c r="E410" i="4"/>
  <c r="C410" i="4"/>
  <c r="D410" i="4"/>
  <c r="B410" i="4"/>
  <c r="G411" i="4" l="1"/>
  <c r="A412" i="4" s="1"/>
  <c r="E411" i="4"/>
  <c r="H411" i="4"/>
  <c r="F411" i="4"/>
  <c r="D411" i="4"/>
  <c r="C411" i="4"/>
  <c r="B411" i="4"/>
  <c r="E412" i="4" l="1"/>
  <c r="D412" i="4"/>
  <c r="C412" i="4"/>
  <c r="B412" i="4"/>
  <c r="H412" i="4"/>
  <c r="F412" i="4"/>
  <c r="G412" i="4"/>
  <c r="A413" i="4" s="1"/>
  <c r="E413" i="4" l="1"/>
  <c r="D413" i="4"/>
  <c r="B413" i="4"/>
  <c r="F413" i="4"/>
  <c r="G413" i="4"/>
  <c r="A414" i="4" s="1"/>
  <c r="H413" i="4"/>
  <c r="C413" i="4"/>
  <c r="G414" i="4" l="1"/>
  <c r="A415" i="4" s="1"/>
  <c r="F414" i="4"/>
  <c r="H414" i="4"/>
  <c r="B414" i="4"/>
  <c r="E414" i="4"/>
  <c r="D414" i="4"/>
  <c r="C414" i="4"/>
  <c r="G415" i="4" l="1"/>
  <c r="A416" i="4" s="1"/>
  <c r="F415" i="4"/>
  <c r="E415" i="4"/>
  <c r="D415" i="4"/>
  <c r="C415" i="4"/>
  <c r="B415" i="4"/>
  <c r="H415" i="4"/>
  <c r="G416" i="4" l="1"/>
  <c r="A417" i="4" s="1"/>
  <c r="B416" i="4"/>
  <c r="D416" i="4"/>
  <c r="H416" i="4"/>
  <c r="C416" i="4"/>
  <c r="F416" i="4"/>
  <c r="E416" i="4"/>
  <c r="G417" i="4" l="1"/>
  <c r="A418" i="4" s="1"/>
  <c r="H417" i="4"/>
  <c r="F417" i="4"/>
  <c r="C417" i="4"/>
  <c r="B417" i="4"/>
  <c r="E417" i="4"/>
  <c r="D417" i="4"/>
  <c r="H418" i="4" l="1"/>
  <c r="G418" i="4"/>
  <c r="A419" i="4" s="1"/>
  <c r="F418" i="4"/>
  <c r="E418" i="4"/>
  <c r="D418" i="4"/>
  <c r="C418" i="4"/>
  <c r="B418" i="4"/>
  <c r="D419" i="4" l="1"/>
  <c r="C419" i="4"/>
  <c r="G419" i="4"/>
  <c r="A420" i="4" s="1"/>
  <c r="H419" i="4"/>
  <c r="B419" i="4"/>
  <c r="E419" i="4"/>
  <c r="F419" i="4"/>
  <c r="G420" i="4" l="1"/>
  <c r="A421" i="4" s="1"/>
  <c r="H420" i="4"/>
  <c r="E420" i="4"/>
  <c r="F420" i="4"/>
  <c r="D420" i="4"/>
  <c r="C420" i="4"/>
  <c r="B420" i="4"/>
  <c r="H421" i="4" l="1"/>
  <c r="G421" i="4"/>
  <c r="A422" i="4" s="1"/>
  <c r="F421" i="4"/>
  <c r="E421" i="4"/>
  <c r="D421" i="4"/>
  <c r="C421" i="4"/>
  <c r="B421" i="4"/>
  <c r="C422" i="4" l="1"/>
  <c r="B422" i="4"/>
  <c r="G422" i="4"/>
  <c r="A423" i="4" s="1"/>
  <c r="F422" i="4"/>
  <c r="E422" i="4"/>
  <c r="D422" i="4"/>
  <c r="H422" i="4"/>
  <c r="G423" i="4" l="1"/>
  <c r="A424" i="4" s="1"/>
  <c r="C423" i="4"/>
  <c r="B423" i="4"/>
  <c r="E423" i="4"/>
  <c r="H423" i="4"/>
  <c r="F423" i="4"/>
  <c r="D423" i="4"/>
  <c r="B424" i="4" l="1"/>
  <c r="H424" i="4"/>
  <c r="G424" i="4"/>
  <c r="A425" i="4" s="1"/>
  <c r="F424" i="4"/>
  <c r="D424" i="4"/>
  <c r="C424" i="4"/>
  <c r="E424" i="4"/>
  <c r="E425" i="4" l="1"/>
  <c r="D425" i="4"/>
  <c r="C425" i="4"/>
  <c r="B425" i="4"/>
  <c r="F425" i="4"/>
  <c r="G425" i="4"/>
  <c r="A426" i="4" s="1"/>
  <c r="H425" i="4"/>
  <c r="G426" i="4" l="1"/>
  <c r="A427" i="4" s="1"/>
  <c r="E426" i="4"/>
  <c r="C426" i="4"/>
  <c r="B426" i="4"/>
  <c r="D426" i="4"/>
  <c r="F426" i="4"/>
  <c r="H426" i="4"/>
  <c r="C427" i="4" l="1"/>
  <c r="H427" i="4"/>
  <c r="G427" i="4"/>
  <c r="A428" i="4" s="1"/>
  <c r="F427" i="4"/>
  <c r="B427" i="4"/>
  <c r="D427" i="4"/>
  <c r="E427" i="4"/>
  <c r="G428" i="4" l="1"/>
  <c r="A429" i="4" s="1"/>
  <c r="F428" i="4"/>
  <c r="E428" i="4"/>
  <c r="D428" i="4"/>
  <c r="C428" i="4"/>
  <c r="B428" i="4"/>
  <c r="H428" i="4"/>
  <c r="G429" i="4" l="1"/>
  <c r="A430" i="4" s="1"/>
  <c r="E429" i="4"/>
  <c r="D429" i="4"/>
  <c r="C429" i="4"/>
  <c r="B429" i="4"/>
  <c r="H429" i="4"/>
  <c r="F429" i="4"/>
  <c r="F430" i="4" l="1"/>
  <c r="D430" i="4"/>
  <c r="C430" i="4"/>
  <c r="B430" i="4"/>
  <c r="H430" i="4"/>
  <c r="E430" i="4"/>
  <c r="G430" i="4"/>
  <c r="A431" i="4" s="1"/>
  <c r="H431" i="4" l="1"/>
  <c r="G431" i="4"/>
  <c r="A432" i="4" s="1"/>
  <c r="F431" i="4"/>
  <c r="E431" i="4"/>
  <c r="D431" i="4"/>
  <c r="C431" i="4"/>
  <c r="B431" i="4"/>
  <c r="G432" i="4" l="1"/>
  <c r="A433" i="4" s="1"/>
  <c r="B432" i="4"/>
  <c r="F432" i="4"/>
  <c r="H432" i="4"/>
  <c r="D432" i="4"/>
  <c r="E432" i="4"/>
  <c r="C432" i="4"/>
  <c r="G433" i="4" l="1"/>
  <c r="A434" i="4" s="1"/>
  <c r="E433" i="4"/>
  <c r="C433" i="4"/>
  <c r="B433" i="4"/>
  <c r="F433" i="4"/>
  <c r="H433" i="4"/>
  <c r="D433" i="4"/>
  <c r="H434" i="4" l="1"/>
  <c r="G434" i="4"/>
  <c r="A435" i="4" s="1"/>
  <c r="F434" i="4"/>
  <c r="C434" i="4"/>
  <c r="D434" i="4"/>
  <c r="E434" i="4"/>
  <c r="B434" i="4"/>
  <c r="G435" i="4" l="1"/>
  <c r="A436" i="4" s="1"/>
  <c r="E435" i="4"/>
  <c r="D435" i="4"/>
  <c r="C435" i="4"/>
  <c r="B435" i="4"/>
  <c r="H435" i="4"/>
  <c r="F435" i="4"/>
  <c r="H436" i="4" l="1"/>
  <c r="F436" i="4"/>
  <c r="G436" i="4"/>
  <c r="A437" i="4" s="1"/>
  <c r="E436" i="4"/>
  <c r="D436" i="4"/>
  <c r="C436" i="4"/>
  <c r="B436" i="4"/>
  <c r="H437" i="4" l="1"/>
  <c r="G437" i="4"/>
  <c r="A438" i="4" s="1"/>
  <c r="D437" i="4"/>
  <c r="C437" i="4"/>
  <c r="B437" i="4"/>
  <c r="F437" i="4"/>
  <c r="E437" i="4"/>
  <c r="G438" i="4" l="1"/>
  <c r="A439" i="4" s="1"/>
  <c r="H438" i="4"/>
  <c r="F438" i="4"/>
  <c r="E438" i="4"/>
  <c r="D438" i="4"/>
  <c r="C438" i="4"/>
  <c r="B438" i="4"/>
  <c r="G439" i="4" l="1"/>
  <c r="A440" i="4" s="1"/>
  <c r="F439" i="4"/>
  <c r="E439" i="4"/>
  <c r="H439" i="4"/>
  <c r="C439" i="4"/>
  <c r="D439" i="4"/>
  <c r="B439" i="4"/>
  <c r="E440" i="4" l="1"/>
  <c r="B440" i="4"/>
  <c r="D440" i="4"/>
  <c r="C440" i="4"/>
  <c r="G440" i="4"/>
  <c r="A441" i="4" s="1"/>
  <c r="H440" i="4"/>
  <c r="F440" i="4"/>
  <c r="G441" i="4" l="1"/>
  <c r="A442" i="4" s="1"/>
  <c r="H441" i="4"/>
  <c r="F441" i="4"/>
  <c r="E441" i="4"/>
  <c r="D441" i="4"/>
  <c r="C441" i="4"/>
  <c r="B441" i="4"/>
  <c r="H442" i="4" l="1"/>
  <c r="D442" i="4"/>
  <c r="C442" i="4"/>
  <c r="B442" i="4"/>
  <c r="G442" i="4"/>
  <c r="A443" i="4" s="1"/>
  <c r="E442" i="4"/>
  <c r="F442" i="4"/>
  <c r="B443" i="4" l="1"/>
  <c r="F443" i="4"/>
  <c r="E443" i="4"/>
  <c r="C443" i="4"/>
  <c r="H443" i="4"/>
  <c r="G443" i="4"/>
  <c r="A444" i="4" s="1"/>
  <c r="D443" i="4"/>
  <c r="G444" i="4" l="1"/>
  <c r="A445" i="4" s="1"/>
  <c r="H444" i="4"/>
  <c r="B444" i="4"/>
  <c r="F444" i="4"/>
  <c r="D444" i="4"/>
  <c r="C444" i="4"/>
  <c r="E444" i="4"/>
  <c r="G445" i="4" l="1"/>
  <c r="A446" i="4" s="1"/>
  <c r="F445" i="4"/>
  <c r="E445" i="4"/>
  <c r="D445" i="4"/>
  <c r="C445" i="4"/>
  <c r="B445" i="4"/>
  <c r="H445" i="4"/>
  <c r="C446" i="4" l="1"/>
  <c r="G446" i="4"/>
  <c r="A447" i="4" s="1"/>
  <c r="H446" i="4"/>
  <c r="F446" i="4"/>
  <c r="E446" i="4"/>
  <c r="D446" i="4"/>
  <c r="B446" i="4"/>
  <c r="G447" i="4" l="1"/>
  <c r="A448" i="4" s="1"/>
  <c r="E447" i="4"/>
  <c r="D447" i="4"/>
  <c r="F447" i="4"/>
  <c r="C447" i="4"/>
  <c r="H447" i="4"/>
  <c r="B447" i="4"/>
  <c r="H448" i="4" l="1"/>
  <c r="G448" i="4"/>
  <c r="A449" i="4" s="1"/>
  <c r="F448" i="4"/>
  <c r="E448" i="4"/>
  <c r="D448" i="4"/>
  <c r="C448" i="4"/>
  <c r="B448" i="4"/>
  <c r="D449" i="4" l="1"/>
  <c r="C449" i="4"/>
  <c r="B449" i="4"/>
  <c r="E449" i="4"/>
  <c r="H449" i="4"/>
  <c r="G449" i="4"/>
  <c r="A450" i="4" s="1"/>
  <c r="F449" i="4"/>
  <c r="G450" i="4" l="1"/>
  <c r="A451" i="4" s="1"/>
  <c r="H450" i="4"/>
  <c r="F450" i="4"/>
  <c r="C450" i="4"/>
  <c r="E450" i="4"/>
  <c r="D450" i="4"/>
  <c r="B450" i="4"/>
  <c r="H451" i="4" l="1"/>
  <c r="G451" i="4"/>
  <c r="A452" i="4" s="1"/>
  <c r="F451" i="4"/>
  <c r="B451" i="4"/>
  <c r="E451" i="4"/>
  <c r="D451" i="4"/>
  <c r="C451" i="4"/>
  <c r="E452" i="4" l="1"/>
  <c r="D452" i="4"/>
  <c r="C452" i="4"/>
  <c r="H452" i="4"/>
  <c r="G452" i="4"/>
  <c r="A453" i="4" s="1"/>
  <c r="F452" i="4"/>
  <c r="B452" i="4"/>
  <c r="G453" i="4" l="1"/>
  <c r="A454" i="4" s="1"/>
  <c r="E453" i="4"/>
  <c r="D453" i="4"/>
  <c r="C453" i="4"/>
  <c r="B453" i="4"/>
  <c r="H453" i="4"/>
  <c r="F453" i="4"/>
  <c r="B454" i="4" l="1"/>
  <c r="H454" i="4"/>
  <c r="D454" i="4"/>
  <c r="F454" i="4"/>
  <c r="C454" i="4"/>
  <c r="G454" i="4"/>
  <c r="A455" i="4" s="1"/>
  <c r="E454" i="4"/>
  <c r="F455" i="4" l="1"/>
  <c r="E455" i="4"/>
  <c r="D455" i="4"/>
  <c r="H455" i="4"/>
  <c r="G455" i="4"/>
  <c r="A456" i="4" s="1"/>
  <c r="C455" i="4"/>
  <c r="B455" i="4"/>
  <c r="G456" i="4" l="1"/>
  <c r="A457" i="4" s="1"/>
  <c r="E456" i="4"/>
  <c r="D456" i="4"/>
  <c r="C456" i="4"/>
  <c r="B456" i="4"/>
  <c r="H456" i="4"/>
  <c r="F456" i="4"/>
  <c r="F457" i="4" l="1"/>
  <c r="H457" i="4"/>
  <c r="G457" i="4"/>
  <c r="A458" i="4" s="1"/>
  <c r="D457" i="4"/>
  <c r="E457" i="4"/>
  <c r="C457" i="4"/>
  <c r="B457" i="4"/>
  <c r="G458" i="4" l="1"/>
  <c r="A459" i="4" s="1"/>
  <c r="F458" i="4"/>
  <c r="E458" i="4"/>
  <c r="H458" i="4"/>
  <c r="B458" i="4"/>
  <c r="D458" i="4"/>
  <c r="C458" i="4"/>
  <c r="G459" i="4" l="1"/>
  <c r="A460" i="4" s="1"/>
  <c r="H459" i="4"/>
  <c r="F459" i="4"/>
  <c r="E459" i="4"/>
  <c r="D459" i="4"/>
  <c r="C459" i="4"/>
  <c r="B459" i="4"/>
  <c r="B460" i="4" l="1"/>
  <c r="H460" i="4"/>
  <c r="D460" i="4"/>
  <c r="E460" i="4"/>
  <c r="G460" i="4"/>
  <c r="A461" i="4" s="1"/>
  <c r="C460" i="4"/>
  <c r="F460" i="4"/>
  <c r="H461" i="4" l="1"/>
  <c r="G461" i="4"/>
  <c r="A462" i="4" s="1"/>
  <c r="F461" i="4"/>
  <c r="E461" i="4"/>
  <c r="D461" i="4"/>
  <c r="C461" i="4"/>
  <c r="B461" i="4"/>
  <c r="G462" i="4" l="1"/>
  <c r="A463" i="4" s="1"/>
  <c r="H462" i="4"/>
  <c r="F462" i="4"/>
  <c r="E462" i="4"/>
  <c r="D462" i="4"/>
  <c r="B462" i="4"/>
  <c r="C462" i="4"/>
  <c r="F463" i="4" l="1"/>
  <c r="E463" i="4"/>
  <c r="D463" i="4"/>
  <c r="C463" i="4"/>
  <c r="B463" i="4"/>
  <c r="H463" i="4"/>
  <c r="G463" i="4"/>
  <c r="A464" i="4" s="1"/>
  <c r="H464" i="4" l="1"/>
  <c r="G464" i="4"/>
  <c r="A465" i="4" s="1"/>
  <c r="F464" i="4"/>
  <c r="E464" i="4"/>
  <c r="B464" i="4"/>
  <c r="C464" i="4"/>
  <c r="D464" i="4"/>
  <c r="G465" i="4" l="1"/>
  <c r="A466" i="4" s="1"/>
  <c r="H465" i="4"/>
  <c r="F465" i="4"/>
  <c r="E465" i="4"/>
  <c r="C465" i="4"/>
  <c r="D465" i="4"/>
  <c r="B465" i="4"/>
  <c r="H466" i="4" l="1"/>
  <c r="G466" i="4"/>
  <c r="A467" i="4" s="1"/>
  <c r="F466" i="4"/>
  <c r="E466" i="4"/>
  <c r="D466" i="4"/>
  <c r="C466" i="4"/>
  <c r="B466" i="4"/>
  <c r="H467" i="4" l="1"/>
  <c r="B467" i="4"/>
  <c r="D467" i="4"/>
  <c r="C467" i="4"/>
  <c r="F467" i="4"/>
  <c r="G467" i="4"/>
  <c r="A468" i="4" s="1"/>
  <c r="E467" i="4"/>
  <c r="G468" i="4" l="1"/>
  <c r="A469" i="4" s="1"/>
  <c r="B468" i="4"/>
  <c r="E468" i="4"/>
  <c r="D468" i="4"/>
  <c r="C468" i="4"/>
  <c r="F468" i="4"/>
  <c r="H468" i="4"/>
  <c r="H469" i="4" l="1"/>
  <c r="G469" i="4"/>
  <c r="A470" i="4" s="1"/>
  <c r="F469" i="4"/>
  <c r="E469" i="4"/>
  <c r="B469" i="4"/>
  <c r="D469" i="4"/>
  <c r="C469" i="4"/>
  <c r="F470" i="4" l="1"/>
  <c r="E470" i="4"/>
  <c r="D470" i="4"/>
  <c r="C470" i="4"/>
  <c r="B470" i="4"/>
  <c r="G470" i="4"/>
  <c r="A471" i="4" s="1"/>
  <c r="H470" i="4"/>
  <c r="G471" i="4" l="1"/>
  <c r="A472" i="4" s="1"/>
  <c r="C471" i="4"/>
  <c r="B471" i="4"/>
  <c r="D471" i="4"/>
  <c r="F471" i="4"/>
  <c r="E471" i="4"/>
  <c r="H471" i="4"/>
  <c r="H472" i="4" l="1"/>
  <c r="D472" i="4"/>
  <c r="E472" i="4"/>
  <c r="G472" i="4"/>
  <c r="A473" i="4" s="1"/>
  <c r="F472" i="4"/>
  <c r="C472" i="4"/>
  <c r="B472" i="4"/>
  <c r="H473" i="4" l="1"/>
  <c r="G473" i="4"/>
  <c r="A474" i="4" s="1"/>
  <c r="F473" i="4"/>
  <c r="E473" i="4"/>
  <c r="D473" i="4"/>
  <c r="C473" i="4"/>
  <c r="B473" i="4"/>
  <c r="G474" i="4" l="1"/>
  <c r="A475" i="4" s="1"/>
  <c r="D474" i="4"/>
  <c r="C474" i="4"/>
  <c r="B474" i="4"/>
  <c r="E474" i="4"/>
  <c r="H474" i="4"/>
  <c r="F474" i="4"/>
  <c r="F475" i="4" l="1"/>
  <c r="E475" i="4"/>
  <c r="B475" i="4"/>
  <c r="C475" i="4"/>
  <c r="D475" i="4"/>
  <c r="H475" i="4"/>
  <c r="G475" i="4"/>
  <c r="A476" i="4" s="1"/>
  <c r="H476" i="4" l="1"/>
  <c r="G476" i="4"/>
  <c r="A477" i="4" s="1"/>
  <c r="F476" i="4"/>
  <c r="E476" i="4"/>
  <c r="D476" i="4"/>
  <c r="C476" i="4"/>
  <c r="B476" i="4"/>
  <c r="G477" i="4" l="1"/>
  <c r="A478" i="4" s="1"/>
  <c r="E477" i="4"/>
  <c r="D477" i="4"/>
  <c r="C477" i="4"/>
  <c r="H477" i="4"/>
  <c r="F477" i="4"/>
  <c r="B477" i="4"/>
  <c r="B478" i="4" l="1"/>
  <c r="H478" i="4"/>
  <c r="G478" i="4"/>
  <c r="A479" i="4" s="1"/>
  <c r="E478" i="4"/>
  <c r="F478" i="4"/>
  <c r="D478" i="4"/>
  <c r="C478" i="4"/>
  <c r="F479" i="4" l="1"/>
  <c r="B479" i="4"/>
  <c r="E479" i="4"/>
  <c r="H479" i="4"/>
  <c r="G479" i="4"/>
  <c r="A480" i="4" s="1"/>
  <c r="C479" i="4"/>
  <c r="D479" i="4"/>
  <c r="G480" i="4" l="1"/>
  <c r="A481" i="4" s="1"/>
  <c r="F480" i="4"/>
  <c r="E480" i="4"/>
  <c r="D480" i="4"/>
  <c r="H480" i="4"/>
  <c r="C480" i="4"/>
  <c r="B480" i="4"/>
  <c r="F481" i="4" l="1"/>
  <c r="E481" i="4"/>
  <c r="D481" i="4"/>
  <c r="C481" i="4"/>
  <c r="B481" i="4"/>
  <c r="H481" i="4"/>
  <c r="G481" i="4"/>
  <c r="A482" i="4" s="1"/>
  <c r="F482" i="4" l="1"/>
  <c r="E482" i="4"/>
  <c r="D482" i="4"/>
  <c r="C482" i="4"/>
  <c r="B482" i="4"/>
  <c r="G482" i="4"/>
  <c r="A483" i="4" s="1"/>
  <c r="H482" i="4"/>
  <c r="G483" i="4" l="1"/>
  <c r="A484" i="4" s="1"/>
  <c r="H483" i="4"/>
  <c r="F483" i="4"/>
  <c r="E483" i="4"/>
  <c r="C483" i="4"/>
  <c r="B483" i="4"/>
  <c r="D483" i="4"/>
  <c r="H484" i="4" l="1"/>
  <c r="G484" i="4"/>
  <c r="A485" i="4" s="1"/>
  <c r="F484" i="4"/>
  <c r="E484" i="4"/>
  <c r="D484" i="4"/>
  <c r="C484" i="4"/>
  <c r="B484" i="4"/>
  <c r="B485" i="4" l="1"/>
  <c r="F485" i="4"/>
  <c r="E485" i="4"/>
  <c r="G485" i="4"/>
  <c r="A486" i="4" s="1"/>
  <c r="C485" i="4"/>
  <c r="H485" i="4"/>
  <c r="D485" i="4"/>
  <c r="G486" i="4" l="1"/>
  <c r="A487" i="4" s="1"/>
  <c r="H486" i="4"/>
  <c r="F486" i="4"/>
  <c r="B486" i="4"/>
  <c r="D486" i="4"/>
  <c r="E486" i="4"/>
  <c r="C486" i="4"/>
  <c r="H487" i="4" l="1"/>
  <c r="G487" i="4"/>
  <c r="A488" i="4" s="1"/>
  <c r="E487" i="4"/>
  <c r="D487" i="4"/>
  <c r="F487" i="4"/>
  <c r="C487" i="4"/>
  <c r="B487" i="4"/>
  <c r="F488" i="4" l="1"/>
  <c r="E488" i="4"/>
  <c r="D488" i="4"/>
  <c r="C488" i="4"/>
  <c r="B488" i="4"/>
  <c r="H488" i="4"/>
  <c r="G488" i="4"/>
  <c r="A489" i="4" s="1"/>
  <c r="G489" i="4" l="1"/>
  <c r="A490" i="4" s="1"/>
  <c r="H489" i="4"/>
  <c r="F489" i="4"/>
  <c r="E489" i="4"/>
  <c r="D489" i="4"/>
  <c r="C489" i="4"/>
  <c r="B489" i="4"/>
  <c r="B490" i="4" l="1"/>
  <c r="F490" i="4"/>
  <c r="C490" i="4"/>
  <c r="E490" i="4"/>
  <c r="D490" i="4"/>
  <c r="H490" i="4"/>
  <c r="G490" i="4"/>
  <c r="A491" i="4" s="1"/>
  <c r="H491" i="4" l="1"/>
  <c r="G491" i="4"/>
  <c r="A492" i="4" s="1"/>
  <c r="F491" i="4"/>
  <c r="E491" i="4"/>
  <c r="D491" i="4"/>
  <c r="C491" i="4"/>
  <c r="B491" i="4"/>
  <c r="G492" i="4" l="1"/>
  <c r="A493" i="4" s="1"/>
  <c r="B492" i="4"/>
  <c r="D492" i="4"/>
  <c r="H492" i="4"/>
  <c r="C492" i="4"/>
  <c r="E492" i="4"/>
  <c r="F492" i="4"/>
  <c r="C493" i="4" l="1"/>
  <c r="B493" i="4"/>
  <c r="H493" i="4"/>
  <c r="D493" i="4"/>
  <c r="F493" i="4"/>
  <c r="E493" i="4"/>
  <c r="G493" i="4"/>
  <c r="A494" i="4" s="1"/>
  <c r="H494" i="4" l="1"/>
  <c r="G494" i="4"/>
  <c r="A495" i="4" s="1"/>
  <c r="F494" i="4"/>
  <c r="C494" i="4"/>
  <c r="B494" i="4"/>
  <c r="E494" i="4"/>
  <c r="D494" i="4"/>
  <c r="G495" i="4" l="1"/>
  <c r="A496" i="4" s="1"/>
  <c r="F495" i="4"/>
  <c r="E495" i="4"/>
  <c r="D495" i="4"/>
  <c r="C495" i="4"/>
  <c r="B495" i="4"/>
  <c r="H495" i="4"/>
  <c r="D496" i="4" l="1"/>
  <c r="C496" i="4"/>
  <c r="B496" i="4"/>
  <c r="F496" i="4"/>
  <c r="H496" i="4"/>
  <c r="E496" i="4"/>
  <c r="G496" i="4"/>
  <c r="A497" i="4" s="1"/>
  <c r="B497" i="4" l="1"/>
  <c r="H497" i="4"/>
  <c r="F497" i="4"/>
  <c r="E497" i="4"/>
  <c r="D497" i="4"/>
  <c r="C497" i="4"/>
  <c r="G497" i="4"/>
  <c r="A498" i="4" s="1"/>
  <c r="G498" i="4" l="1"/>
  <c r="A499" i="4" s="1"/>
  <c r="H498" i="4"/>
  <c r="F498" i="4"/>
  <c r="E498" i="4"/>
  <c r="D498" i="4"/>
  <c r="C498" i="4"/>
  <c r="B498" i="4"/>
  <c r="E499" i="4" l="1"/>
  <c r="D499" i="4"/>
  <c r="C499" i="4"/>
  <c r="F499" i="4"/>
  <c r="B499" i="4"/>
  <c r="H499" i="4"/>
  <c r="G499" i="4"/>
  <c r="A500" i="4" s="1"/>
  <c r="F500" i="4" l="1"/>
  <c r="E500" i="4"/>
  <c r="D500" i="4"/>
  <c r="H500" i="4"/>
  <c r="G500" i="4"/>
  <c r="A501" i="4" s="1"/>
  <c r="C500" i="4"/>
  <c r="B500" i="4"/>
  <c r="G501" i="4" l="1"/>
  <c r="A502" i="4" s="1"/>
  <c r="H501" i="4"/>
  <c r="F501" i="4"/>
  <c r="E501" i="4"/>
  <c r="B501" i="4"/>
  <c r="C501" i="4"/>
  <c r="D501" i="4"/>
  <c r="F502" i="4" l="1"/>
  <c r="E502" i="4"/>
  <c r="D502" i="4"/>
  <c r="H502" i="4"/>
  <c r="G502" i="4"/>
  <c r="A503" i="4" s="1"/>
  <c r="C502" i="4"/>
  <c r="B502" i="4"/>
  <c r="B503" i="4" l="1"/>
  <c r="D503" i="4"/>
  <c r="H503" i="4"/>
  <c r="C503" i="4"/>
  <c r="G503" i="4"/>
  <c r="A504" i="4" s="1"/>
  <c r="E503" i="4"/>
  <c r="F503" i="4"/>
  <c r="G504" i="4" l="1"/>
  <c r="A505" i="4" s="1"/>
  <c r="D504" i="4"/>
  <c r="H504" i="4"/>
  <c r="F504" i="4"/>
  <c r="E504" i="4"/>
  <c r="C504" i="4"/>
  <c r="B504" i="4"/>
  <c r="G505" i="4" l="1"/>
  <c r="A506" i="4" s="1"/>
  <c r="F505" i="4"/>
  <c r="E505" i="4"/>
  <c r="H505" i="4"/>
  <c r="D505" i="4"/>
  <c r="C505" i="4"/>
  <c r="B505" i="4"/>
  <c r="F506" i="4" l="1"/>
  <c r="E506" i="4"/>
  <c r="D506" i="4"/>
  <c r="C506" i="4"/>
  <c r="B506" i="4"/>
  <c r="H506" i="4"/>
  <c r="G506" i="4"/>
  <c r="A507" i="4" s="1"/>
  <c r="G507" i="4" l="1"/>
  <c r="A508" i="4" s="1"/>
  <c r="F507" i="4"/>
  <c r="E507" i="4"/>
  <c r="B507" i="4"/>
  <c r="C507" i="4"/>
  <c r="D507" i="4"/>
  <c r="H507" i="4"/>
  <c r="H508" i="4" l="1"/>
  <c r="G508" i="4"/>
  <c r="A509" i="4" s="1"/>
  <c r="F508" i="4"/>
  <c r="D508" i="4"/>
  <c r="E508" i="4"/>
  <c r="C508" i="4"/>
  <c r="B508" i="4"/>
  <c r="H509" i="4" l="1"/>
  <c r="G509" i="4"/>
  <c r="A510" i="4" s="1"/>
  <c r="F509" i="4"/>
  <c r="E509" i="4"/>
  <c r="D509" i="4"/>
  <c r="C509" i="4"/>
  <c r="B509" i="4"/>
  <c r="G510" i="4" l="1"/>
  <c r="A511" i="4" s="1"/>
  <c r="B510" i="4"/>
  <c r="D510" i="4"/>
  <c r="H510" i="4"/>
  <c r="E510" i="4"/>
  <c r="C510" i="4"/>
  <c r="F510" i="4"/>
  <c r="H511" i="4" l="1"/>
  <c r="G511" i="4"/>
  <c r="A512" i="4" s="1"/>
  <c r="C511" i="4"/>
  <c r="F511" i="4"/>
  <c r="B511" i="4"/>
  <c r="E511" i="4"/>
  <c r="D511" i="4"/>
  <c r="H512" i="4" l="1"/>
  <c r="G512" i="4"/>
  <c r="A513" i="4" s="1"/>
  <c r="F512" i="4"/>
  <c r="E512" i="4"/>
  <c r="B512" i="4"/>
  <c r="D512" i="4"/>
  <c r="C512" i="4"/>
  <c r="G513" i="4" l="1"/>
  <c r="A514" i="4" s="1"/>
  <c r="F513" i="4"/>
  <c r="E513" i="4"/>
  <c r="D513" i="4"/>
  <c r="C513" i="4"/>
  <c r="B513" i="4"/>
  <c r="H513" i="4"/>
  <c r="H514" i="4" l="1"/>
  <c r="B514" i="4"/>
  <c r="C514" i="4"/>
  <c r="E514" i="4"/>
  <c r="G514" i="4"/>
  <c r="A515" i="4" s="1"/>
  <c r="D514" i="4"/>
  <c r="F514" i="4"/>
  <c r="B515" i="4" l="1"/>
  <c r="G515" i="4"/>
  <c r="A516" i="4" s="1"/>
  <c r="H515" i="4"/>
  <c r="F515" i="4"/>
  <c r="E515" i="4"/>
  <c r="D515" i="4"/>
  <c r="C515" i="4"/>
  <c r="G516" i="4" l="1"/>
  <c r="A517" i="4" s="1"/>
  <c r="H516" i="4"/>
  <c r="F516" i="4"/>
  <c r="E516" i="4"/>
  <c r="D516" i="4"/>
  <c r="C516" i="4"/>
  <c r="B516" i="4"/>
  <c r="C517" i="4" l="1"/>
  <c r="B517" i="4"/>
  <c r="G517" i="4"/>
  <c r="A518" i="4" s="1"/>
  <c r="D517" i="4"/>
  <c r="H517" i="4"/>
  <c r="F517" i="4"/>
  <c r="E517" i="4"/>
  <c r="C518" i="4" l="1"/>
  <c r="B518" i="4"/>
  <c r="F518" i="4"/>
  <c r="E518" i="4"/>
  <c r="D518" i="4"/>
  <c r="G518" i="4"/>
  <c r="A519" i="4" s="1"/>
  <c r="H518" i="4"/>
  <c r="G519" i="4" l="1"/>
  <c r="A520" i="4" s="1"/>
  <c r="H519" i="4"/>
  <c r="F519" i="4"/>
  <c r="E519" i="4"/>
  <c r="C519" i="4"/>
  <c r="D519" i="4"/>
  <c r="B519" i="4"/>
  <c r="G520" i="4" l="1"/>
  <c r="A521" i="4" s="1"/>
  <c r="F520" i="4"/>
  <c r="E520" i="4"/>
  <c r="D520" i="4"/>
  <c r="C520" i="4"/>
  <c r="B520" i="4"/>
  <c r="H520" i="4"/>
  <c r="D521" i="4" l="1"/>
  <c r="C521" i="4"/>
  <c r="B521" i="4"/>
  <c r="G521" i="4"/>
  <c r="A522" i="4" s="1"/>
  <c r="F521" i="4"/>
  <c r="E521" i="4"/>
  <c r="H521" i="4"/>
  <c r="G522" i="4" l="1"/>
  <c r="A523" i="4" s="1"/>
  <c r="H522" i="4"/>
  <c r="F522" i="4"/>
  <c r="E522" i="4"/>
  <c r="D522" i="4"/>
  <c r="C522" i="4"/>
  <c r="B522" i="4"/>
  <c r="H523" i="4" l="1"/>
  <c r="G523" i="4"/>
  <c r="A524" i="4" s="1"/>
  <c r="F523" i="4"/>
  <c r="E523" i="4"/>
  <c r="D523" i="4"/>
  <c r="C523" i="4"/>
  <c r="B523" i="4"/>
  <c r="E524" i="4" l="1"/>
  <c r="D524" i="4"/>
  <c r="C524" i="4"/>
  <c r="F524" i="4"/>
  <c r="B524" i="4"/>
  <c r="G524" i="4"/>
  <c r="A525" i="4" s="1"/>
  <c r="H524" i="4"/>
  <c r="G525" i="4" l="1"/>
  <c r="A526" i="4" s="1"/>
  <c r="E525" i="4"/>
  <c r="C525" i="4"/>
  <c r="H525" i="4"/>
  <c r="D525" i="4"/>
  <c r="F525" i="4"/>
  <c r="B525" i="4"/>
  <c r="H526" i="4" l="1"/>
  <c r="G526" i="4"/>
  <c r="A527" i="4" s="1"/>
  <c r="F526" i="4"/>
  <c r="B526" i="4"/>
  <c r="C526" i="4"/>
  <c r="D526" i="4"/>
  <c r="E526" i="4"/>
  <c r="F527" i="4" l="1"/>
  <c r="E527" i="4"/>
  <c r="D527" i="4"/>
  <c r="H527" i="4"/>
  <c r="G527" i="4"/>
  <c r="A528" i="4" s="1"/>
  <c r="C527" i="4"/>
  <c r="B527" i="4"/>
  <c r="G528" i="4" l="1"/>
  <c r="A529" i="4" s="1"/>
  <c r="B528" i="4"/>
  <c r="H528" i="4"/>
  <c r="F528" i="4"/>
  <c r="E528" i="4"/>
  <c r="D528" i="4"/>
  <c r="C528" i="4"/>
  <c r="C529" i="4" l="1"/>
  <c r="B529" i="4"/>
  <c r="F529" i="4"/>
  <c r="H529" i="4"/>
  <c r="G529" i="4"/>
  <c r="A530" i="4" s="1"/>
  <c r="E529" i="4"/>
  <c r="D529" i="4"/>
  <c r="G530" i="4" l="1"/>
  <c r="A531" i="4" s="1"/>
  <c r="F530" i="4"/>
  <c r="E530" i="4"/>
  <c r="H530" i="4"/>
  <c r="D530" i="4"/>
  <c r="C530" i="4"/>
  <c r="B530" i="4"/>
  <c r="G531" i="4" l="1"/>
  <c r="A532" i="4" s="1"/>
  <c r="F531" i="4"/>
  <c r="E531" i="4"/>
  <c r="D531" i="4"/>
  <c r="C531" i="4"/>
  <c r="B531" i="4"/>
  <c r="H531" i="4"/>
  <c r="H532" i="4" l="1"/>
  <c r="G532" i="4"/>
  <c r="A533" i="4" s="1"/>
  <c r="F532" i="4"/>
  <c r="E532" i="4"/>
  <c r="D532" i="4"/>
  <c r="C532" i="4"/>
  <c r="B532" i="4"/>
  <c r="H533" i="4" l="1"/>
  <c r="G533" i="4"/>
  <c r="A534" i="4" s="1"/>
  <c r="F533" i="4"/>
  <c r="D533" i="4"/>
  <c r="C533" i="4"/>
  <c r="B533" i="4"/>
  <c r="E533" i="4"/>
  <c r="G534" i="4" l="1"/>
  <c r="A535" i="4" s="1"/>
  <c r="H534" i="4"/>
  <c r="F534" i="4"/>
  <c r="E534" i="4"/>
  <c r="D534" i="4"/>
  <c r="C534" i="4"/>
  <c r="B534" i="4"/>
  <c r="C535" i="4" l="1"/>
  <c r="B535" i="4"/>
  <c r="F535" i="4"/>
  <c r="E535" i="4"/>
  <c r="H535" i="4"/>
  <c r="G535" i="4"/>
  <c r="A536" i="4" s="1"/>
  <c r="D535" i="4"/>
  <c r="H536" i="4" l="1"/>
  <c r="G536" i="4"/>
  <c r="A537" i="4" s="1"/>
  <c r="C536" i="4"/>
  <c r="B536" i="4"/>
  <c r="D536" i="4"/>
  <c r="F536" i="4"/>
  <c r="E536" i="4"/>
  <c r="G537" i="4" l="1"/>
  <c r="A538" i="4" s="1"/>
  <c r="H537" i="4"/>
  <c r="F537" i="4"/>
  <c r="E537" i="4"/>
  <c r="D537" i="4"/>
  <c r="B537" i="4"/>
  <c r="C537" i="4"/>
  <c r="G538" i="4" l="1"/>
  <c r="A539" i="4" s="1"/>
  <c r="F538" i="4"/>
  <c r="E538" i="4"/>
  <c r="D538" i="4"/>
  <c r="C538" i="4"/>
  <c r="B538" i="4"/>
  <c r="H538" i="4"/>
  <c r="H539" i="4" l="1"/>
  <c r="G539" i="4"/>
  <c r="A540" i="4" s="1"/>
  <c r="F539" i="4"/>
  <c r="D539" i="4"/>
  <c r="C539" i="4"/>
  <c r="B539" i="4"/>
  <c r="E539" i="4"/>
  <c r="G540" i="4" l="1"/>
  <c r="A541" i="4" s="1"/>
  <c r="B540" i="4"/>
  <c r="H540" i="4"/>
  <c r="F540" i="4"/>
  <c r="E540" i="4"/>
  <c r="D540" i="4"/>
  <c r="C540" i="4"/>
  <c r="H541" i="4" l="1"/>
  <c r="G541" i="4"/>
  <c r="A542" i="4" s="1"/>
  <c r="F541" i="4"/>
  <c r="E541" i="4"/>
  <c r="D541" i="4"/>
  <c r="B541" i="4"/>
  <c r="C541" i="4"/>
  <c r="H542" i="4" l="1"/>
  <c r="C542" i="4"/>
  <c r="B542" i="4"/>
  <c r="F542" i="4"/>
  <c r="D542" i="4"/>
  <c r="G542" i="4"/>
  <c r="A543" i="4" s="1"/>
  <c r="E542" i="4"/>
  <c r="G543" i="4" l="1"/>
  <c r="A544" i="4" s="1"/>
  <c r="C543" i="4"/>
  <c r="B543" i="4"/>
  <c r="H543" i="4"/>
  <c r="F543" i="4"/>
  <c r="E543" i="4"/>
  <c r="D543" i="4"/>
  <c r="H544" i="4" l="1"/>
  <c r="G544" i="4"/>
  <c r="A545" i="4" s="1"/>
  <c r="E544" i="4"/>
  <c r="D544" i="4"/>
  <c r="C544" i="4"/>
  <c r="B544" i="4"/>
  <c r="F544" i="4"/>
  <c r="H545" i="4" l="1"/>
  <c r="G545" i="4"/>
  <c r="A546" i="4" s="1"/>
  <c r="F545" i="4"/>
  <c r="E545" i="4"/>
  <c r="D545" i="4"/>
  <c r="C545" i="4"/>
  <c r="B545" i="4"/>
  <c r="G546" i="4" l="1"/>
  <c r="A547" i="4" s="1"/>
  <c r="D546" i="4"/>
  <c r="C546" i="4"/>
  <c r="B546" i="4"/>
  <c r="H546" i="4"/>
  <c r="F546" i="4"/>
  <c r="E546" i="4"/>
  <c r="C547" i="4" l="1"/>
  <c r="H547" i="4"/>
  <c r="B547" i="4"/>
  <c r="G547" i="4"/>
  <c r="A548" i="4" s="1"/>
  <c r="E547" i="4"/>
  <c r="F547" i="4"/>
  <c r="D547" i="4"/>
  <c r="H548" i="4" l="1"/>
  <c r="G548" i="4"/>
  <c r="A549" i="4" s="1"/>
  <c r="F548" i="4"/>
  <c r="E548" i="4"/>
  <c r="D548" i="4"/>
  <c r="C548" i="4"/>
  <c r="B548" i="4"/>
  <c r="G549" i="4" l="1"/>
  <c r="A550" i="4" s="1"/>
  <c r="E549" i="4"/>
  <c r="D549" i="4"/>
  <c r="C549" i="4"/>
  <c r="B549" i="4"/>
  <c r="H549" i="4"/>
  <c r="F549" i="4"/>
  <c r="B550" i="4" l="1"/>
  <c r="G550" i="4"/>
  <c r="A551" i="4" s="1"/>
  <c r="F550" i="4"/>
  <c r="E550" i="4"/>
  <c r="D550" i="4"/>
  <c r="C550" i="4"/>
  <c r="H550" i="4"/>
  <c r="B551" i="4" l="1"/>
  <c r="E551" i="4"/>
  <c r="D551" i="4"/>
  <c r="C551" i="4"/>
  <c r="H551" i="4"/>
  <c r="G551" i="4"/>
  <c r="A552" i="4" s="1"/>
  <c r="F551" i="4"/>
  <c r="G552" i="4" l="1"/>
  <c r="A553" i="4" s="1"/>
  <c r="F552" i="4"/>
  <c r="E552" i="4"/>
  <c r="D552" i="4"/>
  <c r="C552" i="4"/>
  <c r="H552" i="4"/>
  <c r="B552" i="4"/>
  <c r="G553" i="4" l="1"/>
  <c r="A554" i="4" s="1"/>
  <c r="F553" i="4"/>
  <c r="E553" i="4"/>
  <c r="D553" i="4"/>
  <c r="C553" i="4"/>
  <c r="B553" i="4"/>
  <c r="H553" i="4"/>
  <c r="H554" i="4" l="1"/>
  <c r="G554" i="4"/>
  <c r="A555" i="4" s="1"/>
  <c r="E554" i="4"/>
  <c r="D554" i="4"/>
  <c r="F554" i="4"/>
  <c r="C554" i="4"/>
  <c r="B554" i="4"/>
  <c r="G555" i="4" l="1"/>
  <c r="A556" i="4" s="1"/>
  <c r="H555" i="4"/>
  <c r="F555" i="4"/>
  <c r="E555" i="4"/>
  <c r="D555" i="4"/>
  <c r="C555" i="4"/>
  <c r="B555" i="4"/>
  <c r="H556" i="4" l="1"/>
  <c r="G556" i="4"/>
  <c r="A557" i="4" s="1"/>
  <c r="F556" i="4"/>
  <c r="E556" i="4"/>
  <c r="D556" i="4"/>
  <c r="C556" i="4"/>
  <c r="B556" i="4"/>
  <c r="D557" i="4" l="1"/>
  <c r="C557" i="4"/>
  <c r="B557" i="4"/>
  <c r="F557" i="4"/>
  <c r="G557" i="4"/>
  <c r="A558" i="4" s="1"/>
  <c r="H557" i="4"/>
  <c r="E557" i="4"/>
  <c r="G558" i="4" l="1"/>
  <c r="A559" i="4" s="1"/>
  <c r="H558" i="4"/>
  <c r="F558" i="4"/>
  <c r="E558" i="4"/>
  <c r="C558" i="4"/>
  <c r="D558" i="4"/>
  <c r="B558" i="4"/>
  <c r="H559" i="4" l="1"/>
  <c r="D559" i="4"/>
  <c r="G559" i="4"/>
  <c r="A560" i="4" s="1"/>
  <c r="F559" i="4"/>
  <c r="E559" i="4"/>
  <c r="C559" i="4"/>
  <c r="B559" i="4"/>
  <c r="H560" i="4" l="1"/>
  <c r="G560" i="4"/>
  <c r="A561" i="4" s="1"/>
  <c r="F560" i="4"/>
  <c r="E560" i="4"/>
  <c r="D560" i="4"/>
  <c r="C560" i="4"/>
  <c r="B560" i="4"/>
  <c r="G561" i="4" l="1"/>
  <c r="A562" i="4" s="1"/>
  <c r="H561" i="4"/>
  <c r="F561" i="4"/>
  <c r="E561" i="4"/>
  <c r="D561" i="4"/>
  <c r="C561" i="4"/>
  <c r="B561" i="4"/>
  <c r="B562" i="4" l="1"/>
  <c r="F562" i="4"/>
  <c r="E562" i="4"/>
  <c r="C562" i="4"/>
  <c r="D562" i="4"/>
  <c r="G562" i="4"/>
  <c r="A563" i="4" s="1"/>
  <c r="H562" i="4"/>
  <c r="H563" i="4" l="1"/>
  <c r="G563" i="4"/>
  <c r="A564" i="4" s="1"/>
  <c r="F563" i="4"/>
  <c r="E563" i="4"/>
  <c r="D563" i="4"/>
  <c r="C563" i="4"/>
  <c r="B563" i="4"/>
  <c r="G564" i="4" l="1"/>
  <c r="A565" i="4" s="1"/>
  <c r="H564" i="4"/>
  <c r="F564" i="4"/>
  <c r="E564" i="4"/>
  <c r="D564" i="4"/>
  <c r="C564" i="4"/>
  <c r="B564" i="4"/>
  <c r="C565" i="4" l="1"/>
  <c r="B565" i="4"/>
  <c r="F565" i="4"/>
  <c r="G565" i="4"/>
  <c r="A566" i="4" s="1"/>
  <c r="H565" i="4"/>
  <c r="E565" i="4"/>
  <c r="D565" i="4"/>
  <c r="H566" i="4" l="1"/>
  <c r="G566" i="4"/>
  <c r="A567" i="4" s="1"/>
  <c r="F566" i="4"/>
  <c r="E566" i="4"/>
  <c r="D566" i="4"/>
  <c r="C566" i="4"/>
  <c r="B566" i="4"/>
  <c r="G567" i="4" l="1"/>
  <c r="A568" i="4" s="1"/>
  <c r="H567" i="4"/>
  <c r="F567" i="4"/>
  <c r="E567" i="4"/>
  <c r="D567" i="4"/>
  <c r="C567" i="4"/>
  <c r="B567" i="4"/>
  <c r="D568" i="4" l="1"/>
  <c r="C568" i="4"/>
  <c r="B568" i="4"/>
  <c r="H568" i="4"/>
  <c r="G568" i="4"/>
  <c r="A569" i="4" s="1"/>
  <c r="F568" i="4"/>
  <c r="E568" i="4"/>
  <c r="H569" i="4" l="1"/>
  <c r="G569" i="4"/>
  <c r="A570" i="4" s="1"/>
  <c r="C569" i="4"/>
  <c r="E569" i="4"/>
  <c r="F569" i="4"/>
  <c r="D569" i="4"/>
  <c r="B569" i="4"/>
  <c r="G570" i="4" l="1"/>
  <c r="A571" i="4" s="1"/>
  <c r="E570" i="4"/>
  <c r="D570" i="4"/>
  <c r="C570" i="4"/>
  <c r="B570" i="4"/>
  <c r="H570" i="4"/>
  <c r="F570" i="4"/>
  <c r="E571" i="4" l="1"/>
  <c r="D571" i="4"/>
  <c r="C571" i="4"/>
  <c r="B571" i="4"/>
  <c r="H571" i="4"/>
  <c r="G571" i="4"/>
  <c r="A572" i="4" s="1"/>
  <c r="F571" i="4"/>
  <c r="E572" i="4" l="1"/>
  <c r="D572" i="4"/>
  <c r="C572" i="4"/>
  <c r="B572" i="4"/>
  <c r="H572" i="4"/>
  <c r="G572" i="4"/>
  <c r="A573" i="4" s="1"/>
  <c r="F572" i="4"/>
  <c r="G573" i="4" l="1"/>
  <c r="A574" i="4" s="1"/>
  <c r="E573" i="4"/>
  <c r="D573" i="4"/>
  <c r="B573" i="4"/>
  <c r="C573" i="4"/>
  <c r="F573" i="4"/>
  <c r="H573" i="4"/>
  <c r="F574" i="4" l="1"/>
  <c r="E574" i="4"/>
  <c r="D574" i="4"/>
  <c r="C574" i="4"/>
  <c r="G574" i="4"/>
  <c r="A575" i="4" s="1"/>
  <c r="H574" i="4"/>
  <c r="B574" i="4"/>
  <c r="H575" i="4" l="1"/>
  <c r="G575" i="4"/>
  <c r="A576" i="4" s="1"/>
  <c r="F575" i="4"/>
  <c r="E575" i="4"/>
  <c r="D575" i="4"/>
  <c r="C575" i="4"/>
  <c r="B575" i="4"/>
  <c r="G576" i="4" l="1"/>
  <c r="A577" i="4" s="1"/>
  <c r="B576" i="4"/>
  <c r="E576" i="4"/>
  <c r="H576" i="4"/>
  <c r="D576" i="4"/>
  <c r="F576" i="4"/>
  <c r="C576" i="4"/>
  <c r="G577" i="4" l="1"/>
  <c r="A578" i="4" s="1"/>
  <c r="F577" i="4"/>
  <c r="E577" i="4"/>
  <c r="D577" i="4"/>
  <c r="H577" i="4"/>
  <c r="C577" i="4"/>
  <c r="B577" i="4"/>
  <c r="H578" i="4" l="1"/>
  <c r="G578" i="4"/>
  <c r="A579" i="4" s="1"/>
  <c r="F578" i="4"/>
  <c r="D578" i="4"/>
  <c r="C578" i="4"/>
  <c r="B578" i="4"/>
  <c r="E578" i="4"/>
  <c r="G579" i="4" l="1"/>
  <c r="A580" i="4" s="1"/>
  <c r="H579" i="4"/>
  <c r="F579" i="4"/>
  <c r="E579" i="4"/>
  <c r="D579" i="4"/>
  <c r="C579" i="4"/>
  <c r="B579" i="4"/>
  <c r="H580" i="4" l="1"/>
  <c r="G580" i="4"/>
  <c r="A581" i="4" s="1"/>
  <c r="F580" i="4"/>
  <c r="E580" i="4"/>
  <c r="C580" i="4"/>
  <c r="D580" i="4"/>
  <c r="B580" i="4"/>
  <c r="E581" i="4" l="1"/>
  <c r="D581" i="4"/>
  <c r="C581" i="4"/>
  <c r="B581" i="4"/>
  <c r="G581" i="4"/>
  <c r="A582" i="4" s="1"/>
  <c r="H581" i="4"/>
  <c r="F581" i="4"/>
  <c r="G582" i="4" l="1"/>
  <c r="A583" i="4" s="1"/>
  <c r="H582" i="4"/>
  <c r="F582" i="4"/>
  <c r="E582" i="4"/>
  <c r="D582" i="4"/>
  <c r="C582" i="4"/>
  <c r="B582" i="4"/>
  <c r="H583" i="4" l="1"/>
  <c r="G583" i="4"/>
  <c r="A584" i="4" s="1"/>
  <c r="F583" i="4"/>
  <c r="E583" i="4"/>
  <c r="D583" i="4"/>
  <c r="C583" i="4"/>
  <c r="B583" i="4"/>
  <c r="H584" i="4" l="1"/>
  <c r="F584" i="4"/>
  <c r="E584" i="4"/>
  <c r="D584" i="4"/>
  <c r="C584" i="4"/>
  <c r="B584" i="4"/>
  <c r="G584" i="4"/>
  <c r="A585" i="4" s="1"/>
  <c r="G585" i="4" l="1"/>
  <c r="A586" i="4" s="1"/>
  <c r="D585" i="4"/>
  <c r="H585" i="4"/>
  <c r="E585" i="4"/>
  <c r="C585" i="4"/>
  <c r="F585" i="4"/>
  <c r="B585" i="4"/>
  <c r="H586" i="4" l="1"/>
  <c r="G586" i="4"/>
  <c r="A587" i="4" s="1"/>
  <c r="F586" i="4"/>
  <c r="E586" i="4"/>
  <c r="D586" i="4"/>
  <c r="C586" i="4"/>
  <c r="B586" i="4"/>
  <c r="B587" i="4" l="1"/>
  <c r="F587" i="4"/>
  <c r="E587" i="4"/>
  <c r="D587" i="4"/>
  <c r="C587" i="4"/>
  <c r="G587" i="4"/>
  <c r="A588" i="4" s="1"/>
  <c r="H587" i="4"/>
  <c r="G588" i="4" l="1"/>
  <c r="A589" i="4" s="1"/>
  <c r="H588" i="4"/>
  <c r="F588" i="4"/>
  <c r="E588" i="4"/>
  <c r="D588" i="4"/>
  <c r="B588" i="4"/>
  <c r="C588" i="4"/>
  <c r="H589" i="4" l="1"/>
  <c r="G589" i="4"/>
  <c r="A590" i="4" s="1"/>
  <c r="F589" i="4"/>
  <c r="D589" i="4"/>
  <c r="C589" i="4"/>
  <c r="B589" i="4"/>
  <c r="E589" i="4"/>
  <c r="C590" i="4" l="1"/>
  <c r="B590" i="4"/>
  <c r="H590" i="4"/>
  <c r="G590" i="4"/>
  <c r="A591" i="4" s="1"/>
  <c r="F590" i="4"/>
  <c r="E590" i="4"/>
  <c r="D590" i="4"/>
  <c r="G591" i="4" l="1"/>
  <c r="A592" i="4" s="1"/>
  <c r="C591" i="4"/>
  <c r="B591" i="4"/>
  <c r="H591" i="4"/>
  <c r="F591" i="4"/>
  <c r="E591" i="4"/>
  <c r="D591" i="4"/>
  <c r="G592" i="4" l="1"/>
  <c r="A593" i="4" s="1"/>
  <c r="C592" i="4"/>
  <c r="H592" i="4"/>
  <c r="D592" i="4"/>
  <c r="F592" i="4"/>
  <c r="E592" i="4"/>
  <c r="B592" i="4"/>
  <c r="D593" i="4" l="1"/>
  <c r="C593" i="4"/>
  <c r="B593" i="4"/>
  <c r="H593" i="4"/>
  <c r="G593" i="4"/>
  <c r="A594" i="4" s="1"/>
  <c r="F593" i="4"/>
  <c r="E593" i="4"/>
  <c r="G594" i="4" l="1"/>
  <c r="A595" i="4" s="1"/>
  <c r="H594" i="4"/>
  <c r="F594" i="4"/>
  <c r="E594" i="4"/>
  <c r="D594" i="4"/>
  <c r="C594" i="4"/>
  <c r="B594" i="4"/>
  <c r="H595" i="4" l="1"/>
  <c r="F595" i="4"/>
  <c r="E595" i="4"/>
  <c r="D595" i="4"/>
  <c r="C595" i="4"/>
  <c r="B595" i="4"/>
  <c r="G595" i="4"/>
  <c r="A596" i="4" s="1"/>
  <c r="E596" i="4" l="1"/>
  <c r="D596" i="4"/>
  <c r="C596" i="4"/>
  <c r="B596" i="4"/>
  <c r="G596" i="4"/>
  <c r="A597" i="4" s="1"/>
  <c r="H596" i="4"/>
  <c r="F596" i="4"/>
  <c r="G597" i="4" l="1"/>
  <c r="A598" i="4" s="1"/>
  <c r="H597" i="4"/>
  <c r="F597" i="4"/>
  <c r="B597" i="4"/>
  <c r="C597" i="4"/>
  <c r="D597" i="4"/>
  <c r="E597" i="4"/>
  <c r="F598" i="4" l="1"/>
  <c r="E598" i="4"/>
  <c r="D598" i="4"/>
  <c r="C598" i="4"/>
  <c r="B598" i="4"/>
  <c r="H598" i="4"/>
  <c r="G598" i="4"/>
  <c r="A599" i="4" s="1"/>
  <c r="F599" i="4" l="1"/>
  <c r="E599" i="4"/>
  <c r="D599" i="4"/>
  <c r="C599" i="4"/>
  <c r="H599" i="4"/>
  <c r="G599" i="4"/>
  <c r="A600" i="4" s="1"/>
  <c r="B599" i="4"/>
  <c r="G600" i="4" l="1"/>
  <c r="A601" i="4" s="1"/>
  <c r="H600" i="4"/>
  <c r="F600" i="4"/>
  <c r="E600" i="4"/>
  <c r="D600" i="4"/>
  <c r="C600" i="4"/>
  <c r="B600" i="4"/>
  <c r="H601" i="4" l="1"/>
  <c r="G601" i="4"/>
  <c r="A602" i="4" s="1"/>
  <c r="F601" i="4"/>
  <c r="E601" i="4"/>
  <c r="D601" i="4"/>
  <c r="C601" i="4"/>
  <c r="B601" i="4"/>
  <c r="G602" i="4" l="1"/>
  <c r="A603" i="4" s="1"/>
  <c r="F602" i="4"/>
  <c r="E602" i="4"/>
  <c r="D602" i="4"/>
  <c r="C602" i="4"/>
  <c r="B602" i="4"/>
  <c r="H602" i="4"/>
  <c r="G603" i="4" l="1"/>
  <c r="A604" i="4" s="1"/>
  <c r="H603" i="4"/>
  <c r="F603" i="4"/>
  <c r="B603" i="4"/>
  <c r="E603" i="4"/>
  <c r="D603" i="4"/>
  <c r="C603" i="4"/>
  <c r="H604" i="4" l="1"/>
  <c r="G604" i="4"/>
  <c r="A605" i="4" s="1"/>
  <c r="F604" i="4"/>
  <c r="D604" i="4"/>
  <c r="E604" i="4"/>
  <c r="B604" i="4"/>
  <c r="C604" i="4"/>
  <c r="G605" i="4" l="1"/>
  <c r="A606" i="4" s="1"/>
  <c r="H605" i="4"/>
  <c r="F605" i="4"/>
  <c r="E605" i="4"/>
  <c r="D605" i="4"/>
  <c r="C605" i="4"/>
  <c r="B605" i="4"/>
  <c r="H606" i="4" l="1"/>
  <c r="E606" i="4"/>
  <c r="D606" i="4"/>
  <c r="C606" i="4"/>
  <c r="B606" i="4"/>
  <c r="G606" i="4"/>
  <c r="A607" i="4" s="1"/>
  <c r="F606" i="4"/>
  <c r="F607" i="4" l="1"/>
  <c r="E607" i="4"/>
  <c r="C607" i="4"/>
  <c r="B607" i="4"/>
  <c r="H607" i="4"/>
  <c r="G607" i="4"/>
  <c r="A608" i="4" s="1"/>
  <c r="D607" i="4"/>
  <c r="G608" i="4" l="1"/>
  <c r="A609" i="4" s="1"/>
  <c r="H608" i="4"/>
  <c r="E608" i="4"/>
  <c r="D608" i="4"/>
  <c r="F608" i="4"/>
  <c r="C608" i="4"/>
  <c r="B608" i="4"/>
  <c r="C609" i="4" l="1"/>
  <c r="B609" i="4"/>
  <c r="H609" i="4"/>
  <c r="G609" i="4"/>
  <c r="A610" i="4" s="1"/>
  <c r="F609" i="4"/>
  <c r="E609" i="4"/>
  <c r="D609" i="4"/>
  <c r="D610" i="4" l="1"/>
  <c r="C610" i="4"/>
  <c r="B610" i="4"/>
  <c r="G610" i="4"/>
  <c r="A611" i="4" s="1"/>
  <c r="H610" i="4"/>
  <c r="F610" i="4"/>
  <c r="E610" i="4"/>
  <c r="G611" i="4" l="1"/>
  <c r="A612" i="4" s="1"/>
  <c r="H611" i="4"/>
  <c r="F611" i="4"/>
  <c r="E611" i="4"/>
  <c r="D611" i="4"/>
  <c r="C611" i="4"/>
  <c r="B611" i="4"/>
  <c r="E612" i="4" l="1"/>
  <c r="D612" i="4"/>
  <c r="C612" i="4"/>
  <c r="B612" i="4"/>
  <c r="H612" i="4"/>
  <c r="F612" i="4"/>
  <c r="G612" i="4"/>
  <c r="A613" i="4" s="1"/>
  <c r="B613" i="4" l="1"/>
  <c r="H613" i="4"/>
  <c r="G613" i="4"/>
  <c r="A614" i="4" s="1"/>
  <c r="F613" i="4"/>
  <c r="E613" i="4"/>
  <c r="D613" i="4"/>
  <c r="C613" i="4"/>
  <c r="G614" i="4" l="1"/>
  <c r="A615" i="4" s="1"/>
  <c r="B614" i="4"/>
  <c r="F614" i="4"/>
  <c r="C614" i="4"/>
  <c r="E614" i="4"/>
  <c r="D614" i="4"/>
  <c r="H614" i="4"/>
  <c r="G615" i="4" l="1"/>
  <c r="A616" i="4" s="1"/>
  <c r="F615" i="4"/>
  <c r="E615" i="4"/>
  <c r="D615" i="4"/>
  <c r="H615" i="4"/>
  <c r="C615" i="4"/>
  <c r="B615" i="4"/>
  <c r="C616" i="4" l="1"/>
  <c r="H616" i="4"/>
  <c r="G616" i="4"/>
  <c r="A617" i="4" s="1"/>
  <c r="E616" i="4"/>
  <c r="F616" i="4"/>
  <c r="D616" i="4"/>
  <c r="B616" i="4"/>
  <c r="G617" i="4" l="1"/>
  <c r="A618" i="4" s="1"/>
  <c r="H617" i="4"/>
  <c r="F617" i="4"/>
  <c r="E617" i="4"/>
  <c r="D617" i="4"/>
  <c r="C617" i="4"/>
  <c r="B617" i="4"/>
  <c r="H618" i="4" l="1"/>
  <c r="G618" i="4"/>
  <c r="A619" i="4" s="1"/>
  <c r="F618" i="4"/>
  <c r="E618" i="4"/>
  <c r="D618" i="4"/>
  <c r="C618" i="4"/>
  <c r="B618" i="4"/>
  <c r="D619" i="4" l="1"/>
  <c r="F619" i="4"/>
  <c r="E619" i="4"/>
  <c r="B619" i="4"/>
  <c r="H619" i="4"/>
  <c r="C619" i="4"/>
  <c r="G619" i="4"/>
  <c r="A620" i="4" s="1"/>
  <c r="G620" i="4" l="1"/>
  <c r="A621" i="4" s="1"/>
  <c r="H620" i="4"/>
  <c r="F620" i="4"/>
  <c r="E620" i="4"/>
  <c r="B620" i="4"/>
  <c r="D620" i="4"/>
  <c r="C620" i="4"/>
  <c r="H621" i="4" l="1"/>
  <c r="G621" i="4"/>
  <c r="A622" i="4" s="1"/>
  <c r="F621" i="4"/>
  <c r="E621" i="4"/>
  <c r="D621" i="4"/>
  <c r="C621" i="4"/>
  <c r="B621" i="4"/>
  <c r="E622" i="4" l="1"/>
  <c r="C622" i="4"/>
  <c r="B622" i="4"/>
  <c r="H622" i="4"/>
  <c r="G622" i="4"/>
  <c r="A623" i="4" s="1"/>
  <c r="F622" i="4"/>
  <c r="D622" i="4"/>
  <c r="G623" i="4" l="1"/>
  <c r="A624" i="4" s="1"/>
  <c r="H623" i="4"/>
  <c r="F623" i="4"/>
  <c r="E623" i="4"/>
  <c r="D623" i="4"/>
  <c r="C623" i="4"/>
  <c r="B623" i="4"/>
  <c r="H624" i="4" l="1"/>
  <c r="G624" i="4"/>
  <c r="A625" i="4" s="1"/>
  <c r="F624" i="4"/>
  <c r="E624" i="4"/>
  <c r="D624" i="4"/>
  <c r="B624" i="4"/>
  <c r="C624" i="4"/>
  <c r="F625" i="4" l="1"/>
  <c r="E625" i="4"/>
  <c r="D625" i="4"/>
  <c r="C625" i="4"/>
  <c r="B625" i="4"/>
  <c r="H625" i="4"/>
  <c r="G625" i="4"/>
  <c r="A626" i="4" s="1"/>
  <c r="G626" i="4" l="1"/>
  <c r="A627" i="4" s="1"/>
  <c r="B626" i="4"/>
  <c r="H626" i="4"/>
  <c r="F626" i="4"/>
  <c r="C626" i="4"/>
  <c r="E626" i="4"/>
  <c r="D626" i="4"/>
  <c r="F627" i="4" l="1"/>
  <c r="B627" i="4"/>
  <c r="C627" i="4"/>
  <c r="E627" i="4"/>
  <c r="D627" i="4"/>
  <c r="H627" i="4"/>
  <c r="G627" i="4"/>
  <c r="A628" i="4" s="1"/>
  <c r="G628" i="4" l="1"/>
  <c r="A629" i="4" s="1"/>
  <c r="H628" i="4"/>
  <c r="F628" i="4"/>
  <c r="E628" i="4"/>
  <c r="D628" i="4"/>
  <c r="C628" i="4"/>
  <c r="B628" i="4"/>
  <c r="G629" i="4" l="1"/>
  <c r="A630" i="4" s="1"/>
  <c r="H629" i="4"/>
  <c r="F629" i="4"/>
  <c r="E629" i="4"/>
  <c r="D629" i="4"/>
  <c r="C629" i="4"/>
  <c r="B629" i="4"/>
  <c r="H630" i="4" l="1"/>
  <c r="F630" i="4"/>
  <c r="E630" i="4"/>
  <c r="D630" i="4"/>
  <c r="C630" i="4"/>
  <c r="B630" i="4"/>
  <c r="G630" i="4"/>
  <c r="A631" i="4" s="1"/>
  <c r="H631" i="4" l="1"/>
  <c r="G631" i="4"/>
  <c r="A632" i="4" s="1"/>
  <c r="F631" i="4"/>
  <c r="E631" i="4"/>
  <c r="C631" i="4"/>
  <c r="D631" i="4"/>
  <c r="B631" i="4"/>
  <c r="G632" i="4" l="1"/>
  <c r="A633" i="4" s="1"/>
  <c r="B632" i="4"/>
  <c r="H632" i="4"/>
  <c r="F632" i="4"/>
  <c r="E632" i="4"/>
  <c r="D632" i="4"/>
  <c r="C632" i="4"/>
  <c r="G633" i="4" l="1"/>
  <c r="A634" i="4" s="1"/>
  <c r="F633" i="4"/>
  <c r="E633" i="4"/>
  <c r="D633" i="4"/>
  <c r="C633" i="4"/>
  <c r="B633" i="4"/>
  <c r="H633" i="4"/>
  <c r="H634" i="4" l="1"/>
  <c r="G634" i="4"/>
  <c r="A635" i="4" s="1"/>
  <c r="F634" i="4"/>
  <c r="E634" i="4"/>
  <c r="D634" i="4"/>
  <c r="C634" i="4"/>
  <c r="B634" i="4"/>
  <c r="G635" i="4" l="1"/>
  <c r="A636" i="4" s="1"/>
  <c r="D635" i="4"/>
  <c r="C635" i="4"/>
  <c r="B635" i="4"/>
  <c r="H635" i="4"/>
  <c r="F635" i="4"/>
  <c r="E635" i="4"/>
  <c r="H636" i="4" l="1"/>
  <c r="G636" i="4"/>
  <c r="A637" i="4" s="1"/>
  <c r="F636" i="4"/>
  <c r="E636" i="4"/>
  <c r="D636" i="4"/>
  <c r="B636" i="4"/>
  <c r="C636" i="4"/>
  <c r="E637" i="4" l="1"/>
  <c r="D637" i="4"/>
  <c r="C637" i="4"/>
  <c r="B637" i="4"/>
  <c r="H637" i="4"/>
  <c r="G637" i="4"/>
  <c r="A638" i="4" s="1"/>
  <c r="F637" i="4"/>
  <c r="G638" i="4" l="1"/>
  <c r="A639" i="4" s="1"/>
  <c r="B638" i="4"/>
  <c r="F638" i="4"/>
  <c r="E638" i="4"/>
  <c r="D638" i="4"/>
  <c r="C638" i="4"/>
  <c r="H638" i="4"/>
  <c r="C639" i="4" l="1"/>
  <c r="B639" i="4"/>
  <c r="D639" i="4"/>
  <c r="E639" i="4"/>
  <c r="H639" i="4"/>
  <c r="F639" i="4"/>
  <c r="G639" i="4"/>
  <c r="A640" i="4" s="1"/>
  <c r="H640" i="4" l="1"/>
  <c r="G640" i="4"/>
  <c r="A641" i="4" s="1"/>
  <c r="F640" i="4"/>
  <c r="E640" i="4"/>
  <c r="D640" i="4"/>
  <c r="C640" i="4"/>
  <c r="B640" i="4"/>
  <c r="G641" i="4" l="1"/>
  <c r="A642" i="4" s="1"/>
  <c r="C641" i="4"/>
  <c r="H641" i="4"/>
  <c r="F641" i="4"/>
  <c r="E641" i="4"/>
  <c r="D641" i="4"/>
  <c r="B641" i="4"/>
  <c r="B642" i="4" l="1"/>
  <c r="G642" i="4"/>
  <c r="A643" i="4" s="1"/>
  <c r="F642" i="4"/>
  <c r="E642" i="4"/>
  <c r="D642" i="4"/>
  <c r="C642" i="4"/>
  <c r="H642" i="4"/>
  <c r="B643" i="4" l="1"/>
  <c r="F643" i="4"/>
  <c r="E643" i="4"/>
  <c r="D643" i="4"/>
  <c r="C643" i="4"/>
  <c r="H643" i="4"/>
  <c r="G643" i="4"/>
  <c r="A644" i="4" s="1"/>
  <c r="G644" i="4" l="1"/>
  <c r="A645" i="4" s="1"/>
  <c r="D644" i="4"/>
  <c r="H644" i="4"/>
  <c r="F644" i="4"/>
  <c r="E644" i="4"/>
  <c r="C644" i="4"/>
  <c r="B644" i="4"/>
  <c r="C645" i="4" l="1"/>
  <c r="B645" i="4"/>
  <c r="H645" i="4"/>
  <c r="G645" i="4"/>
  <c r="A646" i="4" s="1"/>
  <c r="F645" i="4"/>
  <c r="E645" i="4"/>
  <c r="D645" i="4"/>
  <c r="H646" i="4" l="1"/>
  <c r="D646" i="4"/>
  <c r="G646" i="4"/>
  <c r="A647" i="4" s="1"/>
  <c r="F646" i="4"/>
  <c r="B646" i="4"/>
  <c r="E646" i="4"/>
  <c r="C646" i="4"/>
  <c r="G647" i="4" l="1"/>
  <c r="A648" i="4" s="1"/>
  <c r="E647" i="4"/>
  <c r="H647" i="4"/>
  <c r="F647" i="4"/>
  <c r="D647" i="4"/>
  <c r="C647" i="4"/>
  <c r="B647" i="4"/>
  <c r="E648" i="4" l="1"/>
  <c r="D648" i="4"/>
  <c r="C648" i="4"/>
  <c r="B648" i="4"/>
  <c r="H648" i="4"/>
  <c r="G648" i="4"/>
  <c r="A649" i="4" s="1"/>
  <c r="F648" i="4"/>
  <c r="H649" i="4" l="1"/>
  <c r="G649" i="4"/>
  <c r="A650" i="4" s="1"/>
  <c r="F649" i="4"/>
  <c r="E649" i="4"/>
  <c r="D649" i="4"/>
  <c r="C649" i="4"/>
  <c r="B649" i="4"/>
  <c r="G650" i="4" l="1"/>
  <c r="A651" i="4" s="1"/>
  <c r="F650" i="4"/>
  <c r="E650" i="4"/>
  <c r="H650" i="4"/>
  <c r="C650" i="4"/>
  <c r="D650" i="4"/>
  <c r="B650" i="4"/>
  <c r="G651" i="4" l="1"/>
  <c r="A652" i="4" s="1"/>
  <c r="F651" i="4"/>
  <c r="E651" i="4"/>
  <c r="D651" i="4"/>
  <c r="C651" i="4"/>
  <c r="H651" i="4"/>
  <c r="B651" i="4"/>
  <c r="H652" i="4" l="1"/>
  <c r="G652" i="4"/>
  <c r="A653" i="4" s="1"/>
  <c r="F652" i="4"/>
  <c r="E652" i="4"/>
  <c r="D652" i="4"/>
  <c r="C652" i="4"/>
  <c r="B652" i="4"/>
  <c r="G653" i="4" l="1"/>
  <c r="A654" i="4" s="1"/>
  <c r="H653" i="4"/>
  <c r="F653" i="4"/>
  <c r="E653" i="4"/>
  <c r="D653" i="4"/>
  <c r="C653" i="4"/>
  <c r="B653" i="4"/>
  <c r="H654" i="4" l="1"/>
  <c r="G654" i="4"/>
  <c r="A655" i="4" s="1"/>
  <c r="F654" i="4"/>
  <c r="E654" i="4"/>
  <c r="D654" i="4"/>
  <c r="C654" i="4"/>
  <c r="B654" i="4"/>
  <c r="F655" i="4" l="1"/>
  <c r="E655" i="4"/>
  <c r="C655" i="4"/>
  <c r="B655" i="4"/>
  <c r="G655" i="4"/>
  <c r="A656" i="4" s="1"/>
  <c r="D655" i="4"/>
  <c r="H655" i="4"/>
  <c r="G656" i="4" l="1"/>
  <c r="A657" i="4" s="1"/>
  <c r="H656" i="4"/>
  <c r="F656" i="4"/>
  <c r="E656" i="4"/>
  <c r="B656" i="4"/>
  <c r="C656" i="4"/>
  <c r="D656" i="4"/>
  <c r="H657" i="4" l="1"/>
  <c r="G657" i="4"/>
  <c r="A658" i="4" s="1"/>
  <c r="F657" i="4"/>
  <c r="E657" i="4"/>
  <c r="D657" i="4"/>
  <c r="C657" i="4"/>
  <c r="B657" i="4"/>
  <c r="C658" i="4" l="1"/>
  <c r="B658" i="4"/>
  <c r="E658" i="4"/>
  <c r="D658" i="4"/>
  <c r="F658" i="4"/>
  <c r="G658" i="4"/>
  <c r="A659" i="4" s="1"/>
  <c r="H658" i="4"/>
  <c r="G659" i="4" l="1"/>
  <c r="A660" i="4" s="1"/>
  <c r="H659" i="4"/>
  <c r="F659" i="4"/>
  <c r="E659" i="4"/>
  <c r="D659" i="4"/>
  <c r="C659" i="4"/>
  <c r="B659" i="4"/>
  <c r="B660" i="4" l="1"/>
  <c r="H660" i="4"/>
  <c r="G660" i="4"/>
  <c r="A661" i="4" s="1"/>
  <c r="F660" i="4"/>
  <c r="D660" i="4"/>
  <c r="C660" i="4"/>
  <c r="E660" i="4"/>
  <c r="E661" i="4" l="1"/>
  <c r="D661" i="4"/>
  <c r="C661" i="4"/>
  <c r="B661" i="4"/>
  <c r="H661" i="4"/>
  <c r="G661" i="4"/>
  <c r="A662" i="4" s="1"/>
  <c r="F661" i="4"/>
  <c r="G662" i="4" l="1"/>
  <c r="A663" i="4" s="1"/>
  <c r="D662" i="4"/>
  <c r="C662" i="4"/>
  <c r="B662" i="4"/>
  <c r="E662" i="4"/>
  <c r="H662" i="4"/>
  <c r="F662" i="4"/>
  <c r="C663" i="4" l="1"/>
  <c r="E663" i="4"/>
  <c r="H663" i="4"/>
  <c r="G663" i="4"/>
  <c r="A664" i="4" s="1"/>
  <c r="D663" i="4"/>
  <c r="F663" i="4"/>
  <c r="B663" i="4"/>
  <c r="G664" i="4" l="1"/>
  <c r="A665" i="4" s="1"/>
  <c r="F664" i="4"/>
  <c r="E664" i="4"/>
  <c r="D664" i="4"/>
  <c r="C664" i="4"/>
  <c r="H664" i="4"/>
  <c r="B664" i="4"/>
  <c r="G665" i="4" l="1"/>
  <c r="A666" i="4" s="1"/>
  <c r="H665" i="4"/>
  <c r="F665" i="4"/>
  <c r="E665" i="4"/>
  <c r="D665" i="4"/>
  <c r="C665" i="4"/>
  <c r="B665" i="4"/>
  <c r="D666" i="4" l="1"/>
  <c r="F666" i="4"/>
  <c r="E666" i="4"/>
  <c r="C666" i="4"/>
  <c r="B666" i="4"/>
  <c r="H666" i="4"/>
  <c r="G666" i="4"/>
  <c r="A667" i="4" s="1"/>
  <c r="H667" i="4" l="1"/>
  <c r="G667" i="4"/>
  <c r="A668" i="4" s="1"/>
  <c r="F667" i="4"/>
  <c r="E667" i="4"/>
  <c r="C667" i="4"/>
  <c r="B667" i="4"/>
  <c r="D667" i="4"/>
  <c r="G668" i="4" l="1"/>
  <c r="A669" i="4" s="1"/>
  <c r="C668" i="4"/>
  <c r="B668" i="4"/>
  <c r="D668" i="4"/>
  <c r="E668" i="4"/>
  <c r="H668" i="4"/>
  <c r="F668" i="4"/>
  <c r="E669" i="4" l="1"/>
  <c r="H669" i="4"/>
  <c r="G669" i="4"/>
  <c r="A670" i="4" s="1"/>
  <c r="F669" i="4"/>
  <c r="D669" i="4"/>
  <c r="C669" i="4"/>
  <c r="B669" i="4"/>
  <c r="F670" i="4" l="1"/>
  <c r="E670" i="4"/>
  <c r="D670" i="4"/>
  <c r="C670" i="4"/>
  <c r="B670" i="4"/>
  <c r="H670" i="4"/>
  <c r="G670" i="4"/>
  <c r="A671" i="4" s="1"/>
  <c r="G671" i="4" l="1"/>
  <c r="A672" i="4" s="1"/>
  <c r="E671" i="4"/>
  <c r="F671" i="4"/>
  <c r="D671" i="4"/>
  <c r="C671" i="4"/>
  <c r="B671" i="4"/>
  <c r="H671" i="4"/>
  <c r="F672" i="4" l="1"/>
  <c r="H672" i="4"/>
  <c r="G672" i="4"/>
  <c r="A673" i="4" s="1"/>
  <c r="E672" i="4"/>
  <c r="D672" i="4"/>
  <c r="B672" i="4"/>
  <c r="C672" i="4"/>
  <c r="H673" i="4" l="1"/>
  <c r="G673" i="4"/>
  <c r="A674" i="4" s="1"/>
  <c r="F673" i="4"/>
  <c r="E673" i="4"/>
  <c r="C673" i="4"/>
  <c r="B673" i="4"/>
  <c r="D673" i="4"/>
  <c r="G674" i="4" l="1"/>
  <c r="A675" i="4" s="1"/>
  <c r="H674" i="4"/>
  <c r="F674" i="4"/>
  <c r="E674" i="4"/>
  <c r="D674" i="4"/>
  <c r="C674" i="4"/>
  <c r="B674" i="4"/>
  <c r="G675" i="4" l="1"/>
  <c r="A676" i="4" s="1"/>
  <c r="B675" i="4"/>
  <c r="E675" i="4"/>
  <c r="D675" i="4"/>
  <c r="C675" i="4"/>
  <c r="H675" i="4"/>
  <c r="F675" i="4"/>
  <c r="F676" i="4" l="1"/>
  <c r="E676" i="4"/>
  <c r="D676" i="4"/>
  <c r="B676" i="4"/>
  <c r="H676" i="4"/>
  <c r="G676" i="4"/>
  <c r="A677" i="4" s="1"/>
  <c r="C676" i="4"/>
  <c r="G677" i="4" l="1"/>
  <c r="A678" i="4" s="1"/>
  <c r="H677" i="4"/>
  <c r="F677" i="4"/>
  <c r="E677" i="4"/>
  <c r="D677" i="4"/>
  <c r="C677" i="4"/>
  <c r="B677" i="4"/>
  <c r="H678" i="4" l="1"/>
  <c r="B678" i="4"/>
  <c r="E678" i="4"/>
  <c r="D678" i="4"/>
  <c r="C678" i="4"/>
  <c r="G678" i="4"/>
  <c r="A679" i="4" s="1"/>
  <c r="F678" i="4"/>
  <c r="F679" i="4" l="1"/>
  <c r="E679" i="4"/>
  <c r="D679" i="4"/>
  <c r="C679" i="4"/>
  <c r="B679" i="4"/>
  <c r="H679" i="4"/>
  <c r="G679" i="4"/>
  <c r="A680" i="4" s="1"/>
  <c r="G680" i="4" l="1"/>
  <c r="A681" i="4" s="1"/>
  <c r="F680" i="4"/>
  <c r="E680" i="4"/>
  <c r="C680" i="4"/>
  <c r="B680" i="4"/>
  <c r="D680" i="4"/>
  <c r="H680" i="4"/>
  <c r="D681" i="4" l="1"/>
  <c r="H681" i="4"/>
  <c r="G681" i="4"/>
  <c r="A682" i="4" s="1"/>
  <c r="F681" i="4"/>
  <c r="E681" i="4"/>
  <c r="C681" i="4"/>
  <c r="B681" i="4"/>
  <c r="H682" i="4" l="1"/>
  <c r="G682" i="4"/>
  <c r="A683" i="4" s="1"/>
  <c r="F682" i="4"/>
  <c r="E682" i="4"/>
  <c r="C682" i="4"/>
  <c r="B682" i="4"/>
  <c r="D682" i="4"/>
  <c r="G683" i="4" l="1"/>
  <c r="A684" i="4" s="1"/>
  <c r="F683" i="4"/>
  <c r="E683" i="4"/>
  <c r="D683" i="4"/>
  <c r="C683" i="4"/>
  <c r="B683" i="4"/>
  <c r="H683" i="4"/>
  <c r="F684" i="4" l="1"/>
  <c r="H684" i="4"/>
  <c r="G684" i="4"/>
  <c r="A685" i="4" s="1"/>
  <c r="E684" i="4"/>
  <c r="C684" i="4"/>
  <c r="B684" i="4"/>
  <c r="D684" i="4"/>
  <c r="B685" i="4" l="1"/>
  <c r="D685" i="4"/>
  <c r="C685" i="4"/>
  <c r="H685" i="4"/>
  <c r="G685" i="4"/>
  <c r="A686" i="4" s="1"/>
  <c r="F685" i="4"/>
  <c r="E685" i="4"/>
  <c r="G686" i="4" l="1"/>
  <c r="A687" i="4" s="1"/>
  <c r="H686" i="4"/>
  <c r="F686" i="4"/>
  <c r="E686" i="4"/>
  <c r="C686" i="4"/>
  <c r="B686" i="4"/>
  <c r="D686" i="4"/>
  <c r="H687" i="4" l="1"/>
  <c r="G687" i="4"/>
  <c r="A688" i="4" s="1"/>
  <c r="F687" i="4"/>
  <c r="E687" i="4"/>
  <c r="D687" i="4"/>
  <c r="C687" i="4"/>
  <c r="B687" i="4"/>
  <c r="C688" i="4" l="1"/>
  <c r="G688" i="4"/>
  <c r="A689" i="4" s="1"/>
  <c r="F688" i="4"/>
  <c r="E688" i="4"/>
  <c r="D688" i="4"/>
  <c r="B688" i="4"/>
  <c r="H688" i="4"/>
  <c r="G689" i="4" l="1"/>
  <c r="A690" i="4" s="1"/>
  <c r="B689" i="4"/>
  <c r="D689" i="4"/>
  <c r="C689" i="4"/>
  <c r="H689" i="4"/>
  <c r="F689" i="4"/>
  <c r="E689" i="4"/>
  <c r="H690" i="4" l="1"/>
  <c r="G690" i="4"/>
  <c r="A691" i="4" s="1"/>
  <c r="F690" i="4"/>
  <c r="E690" i="4"/>
  <c r="D690" i="4"/>
  <c r="C690" i="4"/>
  <c r="B690" i="4"/>
  <c r="D691" i="4" l="1"/>
  <c r="B691" i="4"/>
  <c r="H691" i="4"/>
  <c r="G691" i="4"/>
  <c r="A692" i="4" s="1"/>
  <c r="F691" i="4"/>
  <c r="E691" i="4"/>
  <c r="C691" i="4"/>
  <c r="G692" i="4" l="1"/>
  <c r="A693" i="4" s="1"/>
  <c r="B692" i="4"/>
  <c r="F692" i="4"/>
  <c r="E692" i="4"/>
  <c r="D692" i="4"/>
  <c r="C692" i="4"/>
  <c r="H692" i="4"/>
  <c r="G693" i="4" l="1"/>
  <c r="A694" i="4" s="1"/>
  <c r="F693" i="4"/>
  <c r="D693" i="4"/>
  <c r="C693" i="4"/>
  <c r="B693" i="4"/>
  <c r="E693" i="4"/>
  <c r="H693" i="4"/>
  <c r="E694" i="4" l="1"/>
  <c r="D694" i="4"/>
  <c r="H694" i="4"/>
  <c r="G694" i="4"/>
  <c r="A695" i="4" s="1"/>
  <c r="C694" i="4"/>
  <c r="B694" i="4"/>
  <c r="F694" i="4"/>
  <c r="G695" i="4" l="1"/>
  <c r="A696" i="4" s="1"/>
  <c r="E695" i="4"/>
  <c r="D695" i="4"/>
  <c r="C695" i="4"/>
  <c r="B695" i="4"/>
  <c r="H695" i="4"/>
  <c r="F695" i="4"/>
  <c r="G696" i="4" l="1"/>
  <c r="A697" i="4" s="1"/>
  <c r="F696" i="4"/>
  <c r="E696" i="4"/>
  <c r="D696" i="4"/>
  <c r="C696" i="4"/>
  <c r="B696" i="4"/>
  <c r="H696" i="4"/>
  <c r="F697" i="4" l="1"/>
  <c r="G697" i="4"/>
  <c r="A698" i="4" s="1"/>
  <c r="D697" i="4"/>
  <c r="H697" i="4"/>
  <c r="E697" i="4"/>
  <c r="C697" i="4"/>
  <c r="B697" i="4"/>
  <c r="G698" i="4" l="1"/>
  <c r="A699" i="4" s="1"/>
  <c r="H698" i="4"/>
  <c r="F698" i="4"/>
  <c r="E698" i="4"/>
  <c r="D698" i="4"/>
  <c r="C698" i="4"/>
  <c r="B698" i="4"/>
  <c r="H699" i="4" l="1"/>
  <c r="G699" i="4"/>
  <c r="A700" i="4" s="1"/>
  <c r="F699" i="4"/>
  <c r="D699" i="4"/>
  <c r="C699" i="4"/>
  <c r="B699" i="4"/>
  <c r="E699" i="4"/>
  <c r="G700" i="4" l="1"/>
  <c r="A701" i="4" s="1"/>
  <c r="H700" i="4"/>
  <c r="F700" i="4"/>
  <c r="E700" i="4"/>
  <c r="D700" i="4"/>
  <c r="C700" i="4"/>
  <c r="B700" i="4"/>
  <c r="G701" i="4" l="1"/>
  <c r="A702" i="4" s="1"/>
  <c r="H701" i="4"/>
  <c r="B701" i="4"/>
  <c r="D701" i="4"/>
  <c r="E701" i="4"/>
  <c r="C701" i="4"/>
  <c r="F701" i="4"/>
  <c r="D702" i="4" l="1"/>
  <c r="C702" i="4"/>
  <c r="B702" i="4"/>
  <c r="G702" i="4"/>
  <c r="A703" i="4" s="1"/>
  <c r="F702" i="4"/>
  <c r="H702" i="4"/>
  <c r="E702" i="4"/>
  <c r="H703" i="4" l="1"/>
  <c r="G703" i="4"/>
  <c r="A704" i="4" s="1"/>
  <c r="F703" i="4"/>
  <c r="E703" i="4"/>
  <c r="C703" i="4"/>
  <c r="B703" i="4"/>
  <c r="D703" i="4"/>
  <c r="G704" i="4" l="1"/>
  <c r="A705" i="4" s="1"/>
  <c r="C704" i="4"/>
  <c r="H704" i="4"/>
  <c r="F704" i="4"/>
  <c r="E704" i="4"/>
  <c r="D704" i="4"/>
  <c r="B704" i="4"/>
  <c r="G705" i="4" l="1"/>
  <c r="A706" i="4" s="1"/>
  <c r="F705" i="4"/>
  <c r="E705" i="4"/>
  <c r="D705" i="4"/>
  <c r="C705" i="4"/>
  <c r="H705" i="4"/>
  <c r="B705" i="4"/>
  <c r="H706" i="4" l="1"/>
  <c r="G706" i="4"/>
  <c r="A707" i="4" s="1"/>
  <c r="E706" i="4"/>
  <c r="D706" i="4"/>
  <c r="C706" i="4"/>
  <c r="B706" i="4"/>
  <c r="F706" i="4"/>
  <c r="G707" i="4" l="1"/>
  <c r="A708" i="4" s="1"/>
  <c r="E707" i="4"/>
  <c r="H707" i="4"/>
  <c r="F707" i="4"/>
  <c r="C707" i="4"/>
  <c r="D707" i="4"/>
  <c r="B707" i="4"/>
  <c r="H708" i="4" l="1"/>
  <c r="G708" i="4"/>
  <c r="A709" i="4" s="1"/>
  <c r="F708" i="4"/>
  <c r="C708" i="4"/>
  <c r="E708" i="4"/>
  <c r="D708" i="4"/>
  <c r="B708" i="4"/>
  <c r="B709" i="4" l="1"/>
  <c r="H709" i="4"/>
  <c r="G709" i="4"/>
  <c r="A710" i="4" s="1"/>
  <c r="F709" i="4"/>
  <c r="E709" i="4"/>
  <c r="D709" i="4"/>
  <c r="C709" i="4"/>
  <c r="G710" i="4" l="1"/>
  <c r="A711" i="4" s="1"/>
  <c r="B710" i="4"/>
  <c r="H710" i="4"/>
  <c r="F710" i="4"/>
  <c r="E710" i="4"/>
  <c r="C710" i="4"/>
  <c r="D710" i="4"/>
  <c r="F711" i="4" l="1"/>
  <c r="H711" i="4"/>
  <c r="G711" i="4"/>
  <c r="A712" i="4" s="1"/>
  <c r="E711" i="4"/>
  <c r="D711" i="4"/>
  <c r="C711" i="4"/>
  <c r="B711" i="4"/>
  <c r="E712" i="4" l="1"/>
  <c r="D712" i="4"/>
  <c r="C712" i="4"/>
  <c r="B712" i="4"/>
  <c r="G712" i="4"/>
  <c r="A713" i="4" s="1"/>
  <c r="F712" i="4"/>
  <c r="H712" i="4"/>
  <c r="G713" i="4" l="1"/>
  <c r="A714" i="4" s="1"/>
  <c r="C713" i="4"/>
  <c r="H713" i="4"/>
  <c r="F713" i="4"/>
  <c r="E713" i="4"/>
  <c r="D713" i="4"/>
  <c r="B713" i="4"/>
  <c r="B714" i="4" l="1"/>
  <c r="E714" i="4"/>
  <c r="D714" i="4"/>
  <c r="C714" i="4"/>
  <c r="H714" i="4"/>
  <c r="G714" i="4"/>
  <c r="A715" i="4" s="1"/>
  <c r="F714" i="4"/>
  <c r="H715" i="4" l="1"/>
  <c r="G715" i="4"/>
  <c r="A716" i="4" s="1"/>
  <c r="F715" i="4"/>
  <c r="E715" i="4"/>
  <c r="D715" i="4"/>
  <c r="B715" i="4"/>
  <c r="C715" i="4"/>
  <c r="G716" i="4" l="1"/>
  <c r="A717" i="4" s="1"/>
  <c r="D716" i="4"/>
  <c r="C716" i="4"/>
  <c r="B716" i="4"/>
  <c r="E716" i="4"/>
  <c r="H716" i="4"/>
  <c r="F716" i="4"/>
  <c r="D717" i="4" l="1"/>
  <c r="H717" i="4"/>
  <c r="G717" i="4"/>
  <c r="A718" i="4" s="1"/>
  <c r="F717" i="4"/>
  <c r="C717" i="4"/>
  <c r="B717" i="4"/>
  <c r="E717" i="4"/>
  <c r="H718" i="4" l="1"/>
  <c r="G718" i="4"/>
  <c r="A719" i="4" s="1"/>
  <c r="D718" i="4"/>
  <c r="F718" i="4"/>
  <c r="E718" i="4"/>
  <c r="C718" i="4"/>
  <c r="B718" i="4"/>
  <c r="G719" i="4" l="1"/>
  <c r="A720" i="4" s="1"/>
  <c r="E719" i="4"/>
  <c r="C719" i="4"/>
  <c r="B719" i="4"/>
  <c r="D719" i="4"/>
  <c r="H719" i="4"/>
  <c r="F719" i="4"/>
  <c r="F720" i="4" l="1"/>
  <c r="G720" i="4"/>
  <c r="A721" i="4" s="1"/>
  <c r="E720" i="4"/>
  <c r="C720" i="4"/>
  <c r="B720" i="4"/>
  <c r="H720" i="4"/>
  <c r="D720" i="4"/>
  <c r="H721" i="4" l="1"/>
  <c r="G721" i="4"/>
  <c r="A722" i="4" s="1"/>
  <c r="F721" i="4"/>
  <c r="E721" i="4"/>
  <c r="D721" i="4"/>
  <c r="C721" i="4"/>
  <c r="B721" i="4"/>
  <c r="G722" i="4" l="1"/>
  <c r="A723" i="4" s="1"/>
  <c r="F722" i="4"/>
  <c r="H722" i="4"/>
  <c r="E722" i="4"/>
  <c r="D722" i="4"/>
  <c r="C722" i="4"/>
  <c r="B722" i="4"/>
  <c r="H723" i="4" l="1"/>
  <c r="G723" i="4"/>
  <c r="A724" i="4" s="1"/>
  <c r="F723" i="4"/>
  <c r="E723" i="4"/>
  <c r="D723" i="4"/>
  <c r="C723" i="4"/>
  <c r="B723" i="4"/>
  <c r="H724" i="4" l="1"/>
  <c r="G724" i="4"/>
  <c r="A725" i="4" s="1"/>
  <c r="E724" i="4"/>
  <c r="D724" i="4"/>
  <c r="C724" i="4"/>
  <c r="F724" i="4"/>
  <c r="B724" i="4"/>
  <c r="G725" i="4" l="1"/>
  <c r="A726" i="4" s="1"/>
  <c r="H725" i="4"/>
  <c r="F725" i="4"/>
  <c r="E725" i="4"/>
  <c r="D725" i="4"/>
  <c r="C725" i="4"/>
  <c r="B725" i="4"/>
  <c r="C726" i="4" l="1"/>
  <c r="B726" i="4"/>
  <c r="H726" i="4"/>
  <c r="G726" i="4"/>
  <c r="A727" i="4" s="1"/>
  <c r="F726" i="4"/>
  <c r="E726" i="4"/>
  <c r="D726" i="4"/>
  <c r="B727" i="4" l="1"/>
  <c r="H727" i="4"/>
  <c r="G727" i="4"/>
  <c r="A728" i="4" s="1"/>
  <c r="F727" i="4"/>
  <c r="E727" i="4"/>
  <c r="D727" i="4"/>
  <c r="C727" i="4"/>
  <c r="G728" i="4" l="1"/>
  <c r="A729" i="4" s="1"/>
  <c r="H728" i="4"/>
  <c r="F728" i="4"/>
  <c r="E728" i="4"/>
  <c r="D728" i="4"/>
  <c r="C728" i="4"/>
  <c r="B728" i="4"/>
  <c r="F729" i="4" l="1"/>
  <c r="E729" i="4"/>
  <c r="D729" i="4"/>
  <c r="C729" i="4"/>
  <c r="B729" i="4"/>
  <c r="H729" i="4"/>
  <c r="G729" i="4"/>
  <c r="A730" i="4" s="1"/>
  <c r="D730" i="4" l="1"/>
  <c r="G730" i="4"/>
  <c r="A731" i="4" s="1"/>
  <c r="H730" i="4"/>
  <c r="F730" i="4"/>
  <c r="E730" i="4"/>
  <c r="C730" i="4"/>
  <c r="B730" i="4"/>
  <c r="G731" i="4" l="1"/>
  <c r="A732" i="4" s="1"/>
  <c r="H731" i="4"/>
  <c r="F731" i="4"/>
  <c r="B731" i="4"/>
  <c r="E731" i="4"/>
  <c r="C731" i="4"/>
  <c r="D731" i="4"/>
  <c r="B732" i="4" l="1"/>
  <c r="H732" i="4"/>
  <c r="G732" i="4"/>
  <c r="A733" i="4" s="1"/>
  <c r="F732" i="4"/>
  <c r="E732" i="4"/>
  <c r="D732" i="4"/>
  <c r="C732" i="4"/>
  <c r="F733" i="4" l="1"/>
  <c r="H733" i="4"/>
  <c r="G733" i="4"/>
  <c r="A734" i="4" s="1"/>
  <c r="E733" i="4"/>
  <c r="D733" i="4"/>
  <c r="C733" i="4"/>
  <c r="B733" i="4"/>
  <c r="G734" i="4" l="1"/>
  <c r="A735" i="4" s="1"/>
  <c r="B734" i="4"/>
  <c r="H734" i="4"/>
  <c r="F734" i="4"/>
  <c r="E734" i="4"/>
  <c r="D734" i="4"/>
  <c r="C734" i="4"/>
  <c r="C735" i="4" l="1"/>
  <c r="H735" i="4"/>
  <c r="G735" i="4"/>
  <c r="A736" i="4" s="1"/>
  <c r="F735" i="4"/>
  <c r="E735" i="4"/>
  <c r="D735" i="4"/>
  <c r="B735" i="4"/>
  <c r="H736" i="4" l="1"/>
  <c r="D736" i="4"/>
  <c r="C736" i="4"/>
  <c r="B736" i="4"/>
  <c r="G736" i="4"/>
  <c r="A737" i="4" s="1"/>
  <c r="F736" i="4"/>
  <c r="E736" i="4"/>
  <c r="G737" i="4" l="1"/>
  <c r="A738" i="4" s="1"/>
  <c r="H737" i="4"/>
  <c r="F737" i="4"/>
  <c r="E737" i="4"/>
  <c r="D737" i="4"/>
  <c r="C737" i="4"/>
  <c r="B737" i="4"/>
  <c r="D738" i="4" l="1"/>
  <c r="H738" i="4"/>
  <c r="G738" i="4"/>
  <c r="A739" i="4" s="1"/>
  <c r="F738" i="4"/>
  <c r="E738" i="4"/>
  <c r="C738" i="4"/>
  <c r="B738" i="4"/>
  <c r="G739" i="4" l="1"/>
  <c r="A740" i="4" s="1"/>
  <c r="F739" i="4"/>
  <c r="E739" i="4"/>
  <c r="D739" i="4"/>
  <c r="C739" i="4"/>
  <c r="B739" i="4"/>
  <c r="H739" i="4"/>
  <c r="G740" i="4" l="1"/>
  <c r="A741" i="4" s="1"/>
  <c r="B740" i="4"/>
  <c r="H740" i="4"/>
  <c r="F740" i="4"/>
  <c r="E740" i="4"/>
  <c r="D740" i="4"/>
  <c r="C740" i="4"/>
  <c r="E741" i="4" l="1"/>
  <c r="G741" i="4"/>
  <c r="A742" i="4" s="1"/>
  <c r="F741" i="4"/>
  <c r="D741" i="4"/>
  <c r="C741" i="4"/>
  <c r="B741" i="4"/>
  <c r="H741" i="4"/>
  <c r="H742" i="4" l="1"/>
  <c r="G742" i="4"/>
  <c r="A743" i="4" s="1"/>
  <c r="F742" i="4"/>
  <c r="E742" i="4"/>
  <c r="D742" i="4"/>
  <c r="C742" i="4"/>
  <c r="B742" i="4"/>
  <c r="G743" i="4" l="1"/>
  <c r="A744" i="4" s="1"/>
  <c r="D743" i="4"/>
  <c r="B743" i="4"/>
  <c r="H743" i="4"/>
  <c r="F743" i="4"/>
  <c r="E743" i="4"/>
  <c r="C743" i="4"/>
  <c r="F744" i="4" l="1"/>
  <c r="D744" i="4"/>
  <c r="C744" i="4"/>
  <c r="B744" i="4"/>
  <c r="E744" i="4"/>
  <c r="G744" i="4"/>
  <c r="A745" i="4" s="1"/>
  <c r="H744" i="4"/>
  <c r="H745" i="4" l="1"/>
  <c r="G745" i="4"/>
  <c r="A746" i="4" s="1"/>
  <c r="F745" i="4"/>
  <c r="E745" i="4"/>
  <c r="D745" i="4"/>
  <c r="C745" i="4"/>
  <c r="B745" i="4"/>
  <c r="G746" i="4" l="1"/>
  <c r="A747" i="4" s="1"/>
  <c r="F746" i="4"/>
  <c r="E746" i="4"/>
  <c r="D746" i="4"/>
  <c r="C746" i="4"/>
  <c r="B746" i="4"/>
  <c r="H746" i="4"/>
  <c r="G747" i="4" l="1"/>
  <c r="A748" i="4" s="1"/>
  <c r="H747" i="4"/>
  <c r="F747" i="4"/>
  <c r="E747" i="4"/>
  <c r="C747" i="4"/>
  <c r="B747" i="4"/>
  <c r="D747" i="4"/>
  <c r="H748" i="4" l="1"/>
  <c r="G748" i="4"/>
  <c r="A749" i="4" s="1"/>
  <c r="F748" i="4"/>
  <c r="E748" i="4"/>
  <c r="D748" i="4"/>
  <c r="C748" i="4"/>
  <c r="B748" i="4"/>
  <c r="G749" i="4" l="1"/>
  <c r="A750" i="4" s="1"/>
  <c r="H749" i="4"/>
  <c r="F749" i="4"/>
  <c r="E749" i="4"/>
  <c r="D749" i="4"/>
  <c r="C749" i="4"/>
  <c r="B749" i="4"/>
  <c r="H750" i="4" l="1"/>
  <c r="B750" i="4"/>
  <c r="G750" i="4"/>
  <c r="A751" i="4" s="1"/>
  <c r="F750" i="4"/>
  <c r="E750" i="4"/>
  <c r="D750" i="4"/>
  <c r="C750" i="4"/>
  <c r="C751" i="4" l="1"/>
  <c r="B751" i="4"/>
  <c r="H751" i="4"/>
  <c r="E751" i="4"/>
  <c r="G751" i="4"/>
  <c r="A752" i="4" s="1"/>
  <c r="F751" i="4"/>
  <c r="D751" i="4"/>
  <c r="G752" i="4" l="1"/>
  <c r="A753" i="4" s="1"/>
  <c r="H752" i="4"/>
  <c r="F752" i="4"/>
  <c r="E752" i="4"/>
  <c r="D752" i="4"/>
  <c r="C752" i="4"/>
  <c r="B752" i="4"/>
  <c r="C753" i="4" l="1"/>
  <c r="E753" i="4"/>
  <c r="D753" i="4"/>
  <c r="B753" i="4"/>
  <c r="H753" i="4"/>
  <c r="G753" i="4"/>
  <c r="A754" i="4" s="1"/>
  <c r="F753" i="4"/>
  <c r="F754" i="4" l="1"/>
  <c r="E754" i="4"/>
  <c r="D754" i="4"/>
  <c r="C754" i="4"/>
  <c r="B754" i="4"/>
  <c r="H754" i="4"/>
  <c r="G754" i="4"/>
  <c r="A755" i="4" s="1"/>
  <c r="G755" i="4" l="1"/>
  <c r="A756" i="4" s="1"/>
  <c r="H755" i="4"/>
  <c r="F755" i="4"/>
  <c r="E755" i="4"/>
  <c r="D755" i="4"/>
  <c r="C755" i="4"/>
  <c r="B755" i="4"/>
  <c r="E756" i="4" l="1"/>
  <c r="H756" i="4"/>
  <c r="G756" i="4"/>
  <c r="A757" i="4" s="1"/>
  <c r="F756" i="4"/>
  <c r="D756" i="4"/>
  <c r="C756" i="4"/>
  <c r="B756" i="4"/>
  <c r="B757" i="4" l="1"/>
  <c r="H757" i="4"/>
  <c r="F757" i="4"/>
  <c r="E757" i="4"/>
  <c r="D757" i="4"/>
  <c r="C757" i="4"/>
  <c r="G757" i="4"/>
  <c r="A758" i="4" s="1"/>
  <c r="G758" i="4" l="1"/>
  <c r="A759" i="4" s="1"/>
  <c r="H758" i="4"/>
  <c r="F758" i="4"/>
  <c r="E758" i="4"/>
  <c r="D758" i="4"/>
  <c r="C758" i="4"/>
  <c r="B758" i="4"/>
  <c r="G759" i="4" l="1"/>
  <c r="A760" i="4" s="1"/>
  <c r="H759" i="4"/>
  <c r="F759" i="4"/>
  <c r="E759" i="4"/>
  <c r="D759" i="4"/>
  <c r="C759" i="4"/>
  <c r="B759" i="4"/>
  <c r="C760" i="4" l="1"/>
  <c r="D760" i="4"/>
  <c r="B760" i="4"/>
  <c r="H760" i="4"/>
  <c r="G760" i="4"/>
  <c r="A761" i="4" s="1"/>
  <c r="F760" i="4"/>
  <c r="E760" i="4"/>
  <c r="G761" i="4" l="1"/>
  <c r="A762" i="4" s="1"/>
  <c r="D761" i="4"/>
  <c r="C761" i="4"/>
  <c r="B761" i="4"/>
  <c r="E761" i="4"/>
  <c r="F761" i="4"/>
  <c r="H761" i="4"/>
  <c r="H762" i="4" l="1"/>
  <c r="G762" i="4"/>
  <c r="A763" i="4" s="1"/>
  <c r="F762" i="4"/>
  <c r="E762" i="4"/>
  <c r="B762" i="4"/>
  <c r="C762" i="4"/>
  <c r="D762" i="4"/>
  <c r="D763" i="4" l="1"/>
  <c r="G763" i="4"/>
  <c r="A764" i="4" s="1"/>
  <c r="F763" i="4"/>
  <c r="E763" i="4"/>
  <c r="C763" i="4"/>
  <c r="B763" i="4"/>
  <c r="H763" i="4"/>
  <c r="G764" i="4" l="1"/>
  <c r="A765" i="4" s="1"/>
  <c r="H764" i="4"/>
  <c r="F764" i="4"/>
  <c r="E764" i="4"/>
  <c r="D764" i="4"/>
  <c r="C764" i="4"/>
  <c r="B764" i="4"/>
  <c r="H765" i="4" l="1"/>
  <c r="G765" i="4"/>
  <c r="A766" i="4" s="1"/>
  <c r="E765" i="4"/>
  <c r="D765" i="4"/>
  <c r="C765" i="4"/>
  <c r="B765" i="4"/>
  <c r="F765" i="4"/>
  <c r="E766" i="4" l="1"/>
  <c r="C766" i="4"/>
  <c r="H766" i="4"/>
  <c r="G766" i="4"/>
  <c r="A767" i="4" s="1"/>
  <c r="F766" i="4"/>
  <c r="D766" i="4"/>
  <c r="B766" i="4"/>
  <c r="G767" i="4" l="1"/>
  <c r="A768" i="4" s="1"/>
  <c r="B767" i="4"/>
  <c r="H767" i="4"/>
  <c r="F767" i="4"/>
  <c r="E767" i="4"/>
  <c r="D767" i="4"/>
  <c r="C767" i="4"/>
  <c r="H768" i="4" l="1"/>
  <c r="G768" i="4"/>
  <c r="A769" i="4" s="1"/>
  <c r="F768" i="4"/>
  <c r="E768" i="4"/>
  <c r="D768" i="4"/>
  <c r="C768" i="4"/>
  <c r="B768" i="4"/>
  <c r="F769" i="4" l="1"/>
  <c r="E769" i="4"/>
  <c r="H769" i="4"/>
  <c r="G769" i="4"/>
  <c r="A770" i="4" s="1"/>
  <c r="D769" i="4"/>
  <c r="C769" i="4"/>
  <c r="B769" i="4"/>
  <c r="G770" i="4" l="1"/>
  <c r="A771" i="4" s="1"/>
  <c r="E770" i="4"/>
  <c r="D770" i="4"/>
  <c r="C770" i="4"/>
  <c r="B770" i="4"/>
  <c r="H770" i="4"/>
  <c r="F770" i="4"/>
  <c r="H771" i="4" l="1"/>
  <c r="G771" i="4"/>
  <c r="A772" i="4" s="1"/>
  <c r="F771" i="4"/>
  <c r="E771" i="4"/>
  <c r="D771" i="4"/>
  <c r="B771" i="4"/>
  <c r="C771" i="4"/>
  <c r="G772" i="4" l="1"/>
  <c r="A773" i="4" s="1"/>
  <c r="H772" i="4"/>
  <c r="F772" i="4"/>
  <c r="E772" i="4"/>
  <c r="C772" i="4"/>
  <c r="B772" i="4"/>
  <c r="D772" i="4"/>
  <c r="G773" i="4" l="1"/>
  <c r="A774" i="4" s="1"/>
  <c r="H773" i="4"/>
  <c r="F773" i="4"/>
  <c r="E773" i="4"/>
  <c r="D773" i="4"/>
  <c r="C773" i="4"/>
  <c r="B773" i="4"/>
  <c r="H774" i="4" l="1"/>
  <c r="G774" i="4"/>
  <c r="A775" i="4" s="1"/>
  <c r="F774" i="4"/>
  <c r="E774" i="4"/>
  <c r="D774" i="4"/>
  <c r="C774" i="4"/>
  <c r="B774" i="4"/>
  <c r="H775" i="4" l="1"/>
  <c r="C775" i="4"/>
  <c r="G775" i="4"/>
  <c r="A776" i="4" s="1"/>
  <c r="F775" i="4"/>
  <c r="E775" i="4"/>
  <c r="D775" i="4"/>
  <c r="B775" i="4"/>
  <c r="G776" i="4" l="1"/>
  <c r="A777" i="4" s="1"/>
  <c r="B776" i="4"/>
  <c r="H776" i="4"/>
  <c r="F776" i="4"/>
  <c r="E776" i="4"/>
  <c r="D776" i="4"/>
  <c r="C776" i="4"/>
  <c r="D777" i="4" l="1"/>
  <c r="C777" i="4"/>
  <c r="B777" i="4"/>
  <c r="H777" i="4"/>
  <c r="G777" i="4"/>
  <c r="A778" i="4" s="1"/>
  <c r="F777" i="4"/>
  <c r="E777" i="4"/>
  <c r="H778" i="4" l="1"/>
  <c r="G778" i="4"/>
  <c r="A779" i="4" s="1"/>
  <c r="F778" i="4"/>
  <c r="E778" i="4"/>
  <c r="D778" i="4"/>
  <c r="C778" i="4"/>
  <c r="B778" i="4"/>
  <c r="G779" i="4" l="1"/>
  <c r="A780" i="4" s="1"/>
  <c r="D779" i="4"/>
  <c r="H779" i="4"/>
  <c r="F779" i="4"/>
  <c r="E779" i="4"/>
  <c r="C779" i="4"/>
  <c r="B779" i="4"/>
  <c r="G780" i="4" l="1"/>
  <c r="A781" i="4" s="1"/>
  <c r="F780" i="4"/>
  <c r="E780" i="4"/>
  <c r="D780" i="4"/>
  <c r="C780" i="4"/>
  <c r="B780" i="4"/>
  <c r="H780" i="4"/>
  <c r="G781" i="4" l="1"/>
  <c r="A782" i="4" s="1"/>
  <c r="F781" i="4"/>
  <c r="D781" i="4"/>
  <c r="C781" i="4"/>
  <c r="B781" i="4"/>
  <c r="E781" i="4"/>
  <c r="H781" i="4"/>
  <c r="G782" i="4" l="1"/>
  <c r="A783" i="4" s="1"/>
  <c r="B782" i="4"/>
  <c r="F782" i="4"/>
  <c r="H782" i="4"/>
  <c r="D782" i="4"/>
  <c r="C782" i="4"/>
  <c r="E782" i="4"/>
  <c r="H783" i="4" l="1"/>
  <c r="G783" i="4"/>
  <c r="A784" i="4" s="1"/>
  <c r="F783" i="4"/>
  <c r="E783" i="4"/>
  <c r="D783" i="4"/>
  <c r="C783" i="4"/>
  <c r="B783" i="4"/>
  <c r="B784" i="4" l="1"/>
  <c r="H784" i="4"/>
  <c r="G784" i="4"/>
  <c r="A785" i="4" s="1"/>
  <c r="F784" i="4"/>
  <c r="E784" i="4"/>
  <c r="D784" i="4"/>
  <c r="C784" i="4"/>
  <c r="G785" i="4" l="1"/>
  <c r="A786" i="4" s="1"/>
  <c r="C785" i="4"/>
  <c r="B785" i="4"/>
  <c r="E785" i="4"/>
  <c r="H785" i="4"/>
  <c r="F785" i="4"/>
  <c r="D785" i="4"/>
  <c r="H786" i="4" l="1"/>
  <c r="G786" i="4"/>
  <c r="A787" i="4" s="1"/>
  <c r="F786" i="4"/>
  <c r="E786" i="4"/>
  <c r="C786" i="4"/>
  <c r="B786" i="4"/>
  <c r="D786" i="4"/>
  <c r="E787" i="4" l="1"/>
  <c r="D787" i="4"/>
  <c r="C787" i="4"/>
  <c r="B787" i="4"/>
  <c r="H787" i="4"/>
  <c r="G787" i="4"/>
  <c r="A788" i="4" s="1"/>
  <c r="F787" i="4"/>
  <c r="G788" i="4" l="1"/>
  <c r="A789" i="4" s="1"/>
  <c r="D788" i="4"/>
  <c r="H788" i="4"/>
  <c r="F788" i="4"/>
  <c r="E788" i="4"/>
  <c r="B788" i="4"/>
  <c r="C788" i="4"/>
  <c r="C789" i="4" l="1"/>
  <c r="H789" i="4"/>
  <c r="G789" i="4"/>
  <c r="A790" i="4" s="1"/>
  <c r="F789" i="4"/>
  <c r="E789" i="4"/>
  <c r="D789" i="4"/>
  <c r="B789" i="4"/>
  <c r="H790" i="4" l="1"/>
  <c r="G790" i="4"/>
  <c r="A791" i="4" s="1"/>
  <c r="F790" i="4"/>
  <c r="E790" i="4"/>
  <c r="D790" i="4"/>
  <c r="C790" i="4"/>
  <c r="B790" i="4"/>
  <c r="G791" i="4" l="1"/>
  <c r="A792" i="4" s="1"/>
  <c r="E791" i="4"/>
  <c r="H791" i="4"/>
  <c r="B791" i="4"/>
  <c r="F791" i="4"/>
  <c r="D791" i="4"/>
  <c r="C791" i="4"/>
  <c r="E792" i="4" l="1"/>
  <c r="G792" i="4"/>
  <c r="A793" i="4" s="1"/>
  <c r="F792" i="4"/>
  <c r="D792" i="4"/>
  <c r="B792" i="4"/>
  <c r="H792" i="4"/>
  <c r="C792" i="4"/>
  <c r="H793" i="4" l="1"/>
  <c r="G793" i="4"/>
  <c r="A794" i="4" s="1"/>
  <c r="F793" i="4"/>
  <c r="E793" i="4"/>
  <c r="D793" i="4"/>
  <c r="C793" i="4"/>
  <c r="B793" i="4"/>
  <c r="G794" i="4" l="1"/>
  <c r="A795" i="4" s="1"/>
  <c r="F794" i="4"/>
  <c r="C794" i="4"/>
  <c r="B794" i="4"/>
  <c r="H794" i="4"/>
  <c r="E794" i="4"/>
  <c r="D794" i="4"/>
  <c r="G795" i="4" l="1"/>
  <c r="A796" i="4" s="1"/>
  <c r="E795" i="4"/>
  <c r="D795" i="4"/>
  <c r="C795" i="4"/>
  <c r="B795" i="4"/>
  <c r="H795" i="4"/>
  <c r="F795" i="4"/>
  <c r="H796" i="4" l="1"/>
  <c r="G796" i="4"/>
  <c r="A797" i="4" s="1"/>
  <c r="F796" i="4"/>
  <c r="E796" i="4"/>
  <c r="C796" i="4"/>
  <c r="B796" i="4"/>
  <c r="D796" i="4"/>
  <c r="G797" i="4" l="1"/>
  <c r="A798" i="4" s="1"/>
  <c r="H797" i="4"/>
  <c r="F797" i="4"/>
  <c r="E797" i="4"/>
  <c r="D797" i="4"/>
  <c r="C797" i="4"/>
  <c r="B797" i="4"/>
  <c r="H798" i="4" l="1"/>
  <c r="D798" i="4"/>
  <c r="C798" i="4"/>
  <c r="G798" i="4"/>
  <c r="A799" i="4" s="1"/>
  <c r="B798" i="4"/>
  <c r="F798" i="4"/>
  <c r="E798" i="4"/>
  <c r="H799" i="4" l="1"/>
  <c r="G799" i="4"/>
  <c r="A800" i="4" s="1"/>
  <c r="F799" i="4"/>
  <c r="E799" i="4"/>
  <c r="D799" i="4"/>
  <c r="C799" i="4"/>
  <c r="B799" i="4"/>
  <c r="G800" i="4" l="1"/>
  <c r="A801" i="4" s="1"/>
  <c r="H800" i="4"/>
  <c r="F800" i="4"/>
  <c r="E800" i="4"/>
  <c r="D800" i="4"/>
  <c r="C800" i="4"/>
  <c r="B800" i="4"/>
  <c r="C801" i="4" l="1"/>
  <c r="B801" i="4"/>
  <c r="E801" i="4"/>
  <c r="H801" i="4"/>
  <c r="G801" i="4"/>
  <c r="A802" i="4" s="1"/>
  <c r="D801" i="4"/>
  <c r="F801" i="4"/>
  <c r="C802" i="4" l="1"/>
  <c r="H802" i="4"/>
  <c r="G802" i="4"/>
  <c r="A803" i="4" s="1"/>
  <c r="F802" i="4"/>
  <c r="E802" i="4"/>
  <c r="D802" i="4"/>
  <c r="B802" i="4"/>
  <c r="G803" i="4" l="1"/>
  <c r="A804" i="4" s="1"/>
  <c r="H803" i="4"/>
  <c r="F803" i="4"/>
  <c r="E803" i="4"/>
  <c r="D803" i="4"/>
  <c r="C803" i="4"/>
  <c r="B803" i="4"/>
  <c r="B804" i="4" l="1"/>
  <c r="F804" i="4"/>
  <c r="E804" i="4"/>
  <c r="D804" i="4"/>
  <c r="C804" i="4"/>
  <c r="H804" i="4"/>
  <c r="G804" i="4"/>
  <c r="A805" i="4" s="1"/>
  <c r="E805" i="4" l="1"/>
  <c r="G805" i="4"/>
  <c r="A806" i="4" s="1"/>
  <c r="F805" i="4"/>
  <c r="D805" i="4"/>
  <c r="C805" i="4"/>
  <c r="B805" i="4"/>
  <c r="H805" i="4"/>
  <c r="G806" i="4" l="1"/>
  <c r="A807" i="4" s="1"/>
  <c r="H806" i="4"/>
  <c r="F806" i="4"/>
  <c r="E806" i="4"/>
  <c r="C806" i="4"/>
  <c r="B806" i="4"/>
  <c r="D806" i="4"/>
  <c r="C807" i="4" l="1"/>
  <c r="H807" i="4"/>
  <c r="G807" i="4"/>
  <c r="A808" i="4" s="1"/>
  <c r="F807" i="4"/>
  <c r="E807" i="4"/>
  <c r="D807" i="4"/>
  <c r="B807" i="4"/>
  <c r="G808" i="4" l="1"/>
  <c r="A809" i="4" s="1"/>
  <c r="H808" i="4"/>
  <c r="F808" i="4"/>
  <c r="E808" i="4"/>
  <c r="C808" i="4"/>
  <c r="D808" i="4"/>
  <c r="B808" i="4"/>
  <c r="G809" i="4" l="1"/>
  <c r="A810" i="4" s="1"/>
  <c r="H809" i="4"/>
  <c r="F809" i="4"/>
  <c r="E809" i="4"/>
  <c r="D809" i="4"/>
  <c r="C809" i="4"/>
  <c r="B809" i="4"/>
  <c r="D810" i="4" l="1"/>
  <c r="H810" i="4"/>
  <c r="G810" i="4"/>
  <c r="A811" i="4" s="1"/>
  <c r="F810" i="4"/>
  <c r="E810" i="4"/>
  <c r="C810" i="4"/>
  <c r="B810" i="4"/>
  <c r="D811" i="4" l="1"/>
  <c r="C811" i="4"/>
  <c r="B811" i="4"/>
  <c r="H811" i="4"/>
  <c r="G811" i="4"/>
  <c r="A812" i="4" s="1"/>
  <c r="F811" i="4"/>
  <c r="E811" i="4"/>
  <c r="G812" i="4" l="1"/>
  <c r="A813" i="4" s="1"/>
  <c r="E812" i="4"/>
  <c r="D812" i="4"/>
  <c r="B812" i="4"/>
  <c r="C812" i="4"/>
  <c r="H812" i="4"/>
  <c r="F812" i="4"/>
  <c r="E813" i="4" l="1"/>
  <c r="H813" i="4"/>
  <c r="G813" i="4"/>
  <c r="A814" i="4" s="1"/>
  <c r="F813" i="4"/>
  <c r="D813" i="4"/>
  <c r="C813" i="4"/>
  <c r="B813" i="4"/>
  <c r="G814" i="4" l="1"/>
  <c r="A815" i="4" s="1"/>
  <c r="F814" i="4"/>
  <c r="E814" i="4"/>
  <c r="D814" i="4"/>
  <c r="C814" i="4"/>
  <c r="B814" i="4"/>
  <c r="H814" i="4"/>
  <c r="G815" i="4" l="1"/>
  <c r="A816" i="4" s="1"/>
  <c r="C815" i="4"/>
  <c r="H815" i="4"/>
  <c r="F815" i="4"/>
  <c r="E815" i="4"/>
  <c r="D815" i="4"/>
  <c r="B815" i="4"/>
  <c r="F816" i="4" l="1"/>
  <c r="H816" i="4"/>
  <c r="E816" i="4"/>
  <c r="D816" i="4"/>
  <c r="C816" i="4"/>
  <c r="G816" i="4"/>
  <c r="A817" i="4" s="1"/>
  <c r="B816" i="4"/>
  <c r="H817" i="4" l="1"/>
  <c r="G817" i="4"/>
  <c r="A818" i="4" s="1"/>
  <c r="F817" i="4"/>
  <c r="E817" i="4"/>
  <c r="D817" i="4"/>
  <c r="C817" i="4"/>
  <c r="B817" i="4"/>
  <c r="G818" i="4" l="1"/>
  <c r="A819" i="4" s="1"/>
  <c r="E818" i="4"/>
  <c r="B818" i="4"/>
  <c r="H818" i="4"/>
  <c r="F818" i="4"/>
  <c r="D818" i="4"/>
  <c r="C818" i="4"/>
  <c r="G819" i="4" l="1"/>
  <c r="A820" i="4" s="1"/>
  <c r="H819" i="4"/>
  <c r="F819" i="4"/>
  <c r="E819" i="4"/>
  <c r="D819" i="4"/>
  <c r="C819" i="4"/>
  <c r="B819" i="4"/>
  <c r="H820" i="4" l="1"/>
  <c r="G820" i="4"/>
  <c r="A821" i="4" s="1"/>
  <c r="F820" i="4"/>
  <c r="E820" i="4"/>
  <c r="D820" i="4"/>
  <c r="C820" i="4"/>
  <c r="B820" i="4"/>
  <c r="G821" i="4" l="1"/>
  <c r="A822" i="4" s="1"/>
  <c r="H821" i="4"/>
  <c r="E821" i="4"/>
  <c r="D821" i="4"/>
  <c r="C821" i="4"/>
  <c r="B821" i="4"/>
  <c r="F821" i="4"/>
  <c r="H822" i="4" l="1"/>
  <c r="D822" i="4"/>
  <c r="B822" i="4"/>
  <c r="E822" i="4"/>
  <c r="C822" i="4"/>
  <c r="G822" i="4"/>
  <c r="A823" i="4" s="1"/>
  <c r="F822" i="4"/>
  <c r="H823" i="4" l="1"/>
  <c r="G823" i="4"/>
  <c r="A824" i="4" s="1"/>
  <c r="F823" i="4"/>
  <c r="E823" i="4"/>
  <c r="B823" i="4"/>
  <c r="D823" i="4"/>
  <c r="C823" i="4"/>
  <c r="G824" i="4" l="1"/>
  <c r="A825" i="4" s="1"/>
  <c r="H824" i="4"/>
  <c r="F824" i="4"/>
  <c r="E824" i="4"/>
  <c r="D824" i="4"/>
  <c r="C824" i="4"/>
  <c r="B824" i="4"/>
  <c r="B825" i="4" l="1"/>
  <c r="H825" i="4"/>
  <c r="G825" i="4"/>
  <c r="A826" i="4" s="1"/>
  <c r="F825" i="4"/>
  <c r="E825" i="4"/>
  <c r="D825" i="4"/>
  <c r="C825" i="4"/>
  <c r="C826" i="4" l="1"/>
  <c r="B826" i="4"/>
  <c r="H826" i="4"/>
  <c r="G826" i="4"/>
  <c r="A827" i="4" s="1"/>
  <c r="F826" i="4"/>
  <c r="E826" i="4"/>
  <c r="D826" i="4"/>
  <c r="G827" i="4" l="1"/>
  <c r="A828" i="4" s="1"/>
  <c r="H827" i="4"/>
  <c r="F827" i="4"/>
  <c r="E827" i="4"/>
  <c r="D827" i="4"/>
  <c r="C827" i="4"/>
  <c r="B827" i="4"/>
  <c r="D828" i="4" l="1"/>
  <c r="E828" i="4"/>
  <c r="C828" i="4"/>
  <c r="B828" i="4"/>
  <c r="H828" i="4"/>
  <c r="G828" i="4"/>
  <c r="A829" i="4" s="1"/>
  <c r="F828" i="4"/>
  <c r="B829" i="4" l="1"/>
  <c r="H829" i="4"/>
  <c r="G829" i="4"/>
  <c r="A830" i="4" s="1"/>
  <c r="F829" i="4"/>
  <c r="E829" i="4"/>
  <c r="D829" i="4"/>
  <c r="C829" i="4"/>
  <c r="G830" i="4" l="1"/>
  <c r="A831" i="4" s="1"/>
  <c r="H830" i="4"/>
  <c r="F830" i="4"/>
  <c r="E830" i="4"/>
  <c r="D830" i="4"/>
  <c r="C830" i="4"/>
  <c r="B830" i="4"/>
  <c r="F831" i="4" l="1"/>
  <c r="H831" i="4"/>
  <c r="G831" i="4"/>
  <c r="A832" i="4" s="1"/>
  <c r="E831" i="4"/>
  <c r="D831" i="4"/>
  <c r="C831" i="4"/>
  <c r="B831" i="4"/>
  <c r="C832" i="4" l="1"/>
  <c r="G832" i="4"/>
  <c r="A833" i="4" s="1"/>
  <c r="D832" i="4"/>
  <c r="B832" i="4"/>
  <c r="H832" i="4"/>
  <c r="F832" i="4"/>
  <c r="E832" i="4"/>
  <c r="G833" i="4" l="1"/>
  <c r="A834" i="4" s="1"/>
  <c r="F833" i="4"/>
  <c r="E833" i="4"/>
  <c r="D833" i="4"/>
  <c r="C833" i="4"/>
  <c r="B833" i="4"/>
  <c r="H833" i="4"/>
  <c r="H834" i="4" l="1"/>
  <c r="G834" i="4"/>
  <c r="A835" i="4" s="1"/>
  <c r="F834" i="4"/>
  <c r="E834" i="4"/>
  <c r="D834" i="4"/>
  <c r="C834" i="4"/>
  <c r="B834" i="4"/>
  <c r="D835" i="4" l="1"/>
  <c r="C835" i="4"/>
  <c r="B835" i="4"/>
  <c r="H835" i="4"/>
  <c r="G835" i="4"/>
  <c r="A836" i="4" s="1"/>
  <c r="F835" i="4"/>
  <c r="E835" i="4"/>
  <c r="G836" i="4" l="1"/>
  <c r="A837" i="4" s="1"/>
  <c r="F836" i="4"/>
  <c r="D836" i="4"/>
  <c r="C836" i="4"/>
  <c r="B836" i="4"/>
  <c r="E836" i="4"/>
  <c r="H836" i="4"/>
  <c r="H837" i="4" l="1"/>
  <c r="G837" i="4"/>
  <c r="A838" i="4" s="1"/>
  <c r="F837" i="4"/>
  <c r="E837" i="4"/>
  <c r="D837" i="4"/>
  <c r="C837" i="4"/>
  <c r="B837" i="4"/>
  <c r="F838" i="4" l="1"/>
  <c r="C838" i="4"/>
  <c r="H838" i="4"/>
  <c r="G838" i="4"/>
  <c r="A839" i="4" s="1"/>
  <c r="E838" i="4"/>
  <c r="D838" i="4"/>
  <c r="B838" i="4"/>
  <c r="G839" i="4" l="1"/>
  <c r="A840" i="4" s="1"/>
  <c r="F839" i="4"/>
  <c r="H839" i="4"/>
  <c r="D839" i="4"/>
  <c r="C839" i="4"/>
  <c r="B839" i="4"/>
  <c r="E839" i="4"/>
  <c r="H840" i="4" l="1"/>
  <c r="G840" i="4"/>
  <c r="A841" i="4" s="1"/>
  <c r="F840" i="4"/>
  <c r="E840" i="4"/>
  <c r="D840" i="4"/>
  <c r="C840" i="4"/>
  <c r="B840" i="4"/>
  <c r="H841" i="4" l="1"/>
  <c r="F841" i="4"/>
  <c r="G841" i="4"/>
  <c r="A842" i="4" s="1"/>
  <c r="E841" i="4"/>
  <c r="D841" i="4"/>
  <c r="C841" i="4"/>
  <c r="B841" i="4"/>
  <c r="G842" i="4" l="1"/>
  <c r="A843" i="4" s="1"/>
  <c r="F842" i="4"/>
  <c r="D842" i="4"/>
  <c r="C842" i="4"/>
  <c r="B842" i="4"/>
  <c r="H842" i="4"/>
  <c r="E842" i="4"/>
  <c r="F843" i="4" l="1"/>
  <c r="E843" i="4"/>
  <c r="C843" i="4"/>
  <c r="B843" i="4"/>
  <c r="D843" i="4"/>
  <c r="H843" i="4"/>
  <c r="G843" i="4"/>
  <c r="A844" i="4" s="1"/>
  <c r="H844" i="4" l="1"/>
  <c r="G844" i="4"/>
  <c r="A845" i="4" s="1"/>
  <c r="F844" i="4"/>
  <c r="E844" i="4"/>
  <c r="D844" i="4"/>
  <c r="C844" i="4"/>
  <c r="B844" i="4"/>
  <c r="G845" i="4" l="1"/>
  <c r="A846" i="4" s="1"/>
  <c r="F845" i="4"/>
  <c r="B845" i="4"/>
  <c r="H845" i="4"/>
  <c r="E845" i="4"/>
  <c r="D845" i="4"/>
  <c r="C845" i="4"/>
  <c r="B846" i="4" l="1"/>
  <c r="H846" i="4"/>
  <c r="G846" i="4"/>
  <c r="A847" i="4" s="1"/>
  <c r="F846" i="4"/>
  <c r="E846" i="4"/>
  <c r="D846" i="4"/>
  <c r="C846" i="4"/>
  <c r="B847" i="4" l="1"/>
  <c r="H847" i="4"/>
  <c r="G847" i="4"/>
  <c r="A848" i="4" s="1"/>
  <c r="F847" i="4"/>
  <c r="E847" i="4"/>
  <c r="D847" i="4"/>
  <c r="C847" i="4"/>
  <c r="G848" i="4" l="1"/>
  <c r="A849" i="4" s="1"/>
  <c r="F848" i="4"/>
  <c r="D848" i="4"/>
  <c r="E848" i="4"/>
  <c r="H848" i="4"/>
  <c r="C848" i="4"/>
  <c r="B848" i="4"/>
  <c r="F849" i="4" l="1"/>
  <c r="E849" i="4"/>
  <c r="D849" i="4"/>
  <c r="C849" i="4"/>
  <c r="B849" i="4"/>
  <c r="H849" i="4"/>
  <c r="G849" i="4"/>
  <c r="A850" i="4" s="1"/>
  <c r="H850" i="4" l="1"/>
  <c r="G850" i="4"/>
  <c r="A851" i="4" s="1"/>
  <c r="F850" i="4"/>
  <c r="E850" i="4"/>
  <c r="C850" i="4"/>
  <c r="B850" i="4"/>
  <c r="D850" i="4"/>
  <c r="G851" i="4" l="1"/>
  <c r="A852" i="4" s="1"/>
  <c r="F851" i="4"/>
  <c r="H851" i="4"/>
  <c r="E851" i="4"/>
  <c r="D851" i="4"/>
  <c r="C851" i="4"/>
  <c r="B851" i="4"/>
  <c r="B852" i="4" l="1"/>
  <c r="H852" i="4"/>
  <c r="G852" i="4"/>
  <c r="A853" i="4" s="1"/>
  <c r="F852" i="4"/>
  <c r="E852" i="4"/>
  <c r="D852" i="4"/>
  <c r="C852" i="4"/>
  <c r="B853" i="4" l="1"/>
  <c r="H853" i="4"/>
  <c r="F853" i="4"/>
  <c r="E853" i="4"/>
  <c r="D853" i="4"/>
  <c r="G853" i="4"/>
  <c r="A854" i="4" s="1"/>
  <c r="C853" i="4"/>
  <c r="G854" i="4" l="1"/>
  <c r="A855" i="4" s="1"/>
  <c r="F854" i="4"/>
  <c r="B854" i="4"/>
  <c r="E854" i="4"/>
  <c r="H854" i="4"/>
  <c r="C854" i="4"/>
  <c r="D854" i="4"/>
  <c r="B855" i="4" l="1"/>
  <c r="E855" i="4"/>
  <c r="H855" i="4"/>
  <c r="G855" i="4"/>
  <c r="A856" i="4" s="1"/>
  <c r="F855" i="4"/>
  <c r="D855" i="4"/>
  <c r="C855" i="4"/>
  <c r="F856" i="4" l="1"/>
  <c r="E856" i="4"/>
  <c r="D856" i="4"/>
  <c r="C856" i="4"/>
  <c r="B856" i="4"/>
  <c r="H856" i="4"/>
  <c r="G856" i="4"/>
  <c r="A857" i="4" s="1"/>
  <c r="G857" i="4" l="1"/>
  <c r="A858" i="4" s="1"/>
  <c r="F857" i="4"/>
  <c r="H857" i="4"/>
  <c r="E857" i="4"/>
  <c r="D857" i="4"/>
  <c r="C857" i="4"/>
  <c r="B857" i="4"/>
  <c r="D858" i="4" l="1"/>
  <c r="H858" i="4"/>
  <c r="F858" i="4"/>
  <c r="E858" i="4"/>
  <c r="C858" i="4"/>
  <c r="B858" i="4"/>
  <c r="G858" i="4"/>
  <c r="A859" i="4" s="1"/>
  <c r="H859" i="4" l="1"/>
  <c r="G859" i="4"/>
  <c r="A860" i="4" s="1"/>
  <c r="F859" i="4"/>
  <c r="E859" i="4"/>
  <c r="D859" i="4"/>
  <c r="C859" i="4"/>
  <c r="B859" i="4"/>
  <c r="G860" i="4" l="1"/>
  <c r="A861" i="4" s="1"/>
  <c r="F860" i="4"/>
  <c r="B860" i="4"/>
  <c r="H860" i="4"/>
  <c r="D860" i="4"/>
  <c r="E860" i="4"/>
  <c r="C860" i="4"/>
  <c r="F861" i="4" l="1"/>
  <c r="H861" i="4"/>
  <c r="G861" i="4"/>
  <c r="A862" i="4" s="1"/>
  <c r="E861" i="4"/>
  <c r="D861" i="4"/>
  <c r="C861" i="4"/>
  <c r="B861" i="4"/>
  <c r="C862" i="4" l="1"/>
  <c r="H862" i="4"/>
  <c r="G862" i="4"/>
  <c r="A863" i="4" s="1"/>
  <c r="F862" i="4"/>
  <c r="E862" i="4"/>
  <c r="D862" i="4"/>
  <c r="B862" i="4"/>
  <c r="G863" i="4" l="1"/>
  <c r="A864" i="4" s="1"/>
  <c r="F863" i="4"/>
  <c r="H863" i="4"/>
  <c r="E863" i="4"/>
  <c r="D863" i="4"/>
  <c r="C863" i="4"/>
  <c r="B863" i="4"/>
  <c r="H864" i="4" l="1"/>
  <c r="G864" i="4"/>
  <c r="A865" i="4" s="1"/>
  <c r="F864" i="4"/>
  <c r="D864" i="4"/>
  <c r="C864" i="4"/>
  <c r="B864" i="4"/>
  <c r="E864" i="4"/>
  <c r="F865" i="4" l="1"/>
  <c r="G865" i="4"/>
  <c r="A866" i="4" s="1"/>
  <c r="E865" i="4"/>
  <c r="D865" i="4"/>
  <c r="C865" i="4"/>
  <c r="B865" i="4"/>
  <c r="H865" i="4"/>
  <c r="G866" i="4" l="1"/>
  <c r="A867" i="4" s="1"/>
  <c r="F866" i="4"/>
  <c r="H866" i="4"/>
  <c r="E866" i="4"/>
  <c r="D866" i="4"/>
  <c r="C866" i="4"/>
  <c r="B866" i="4"/>
  <c r="D867" i="4" l="1"/>
  <c r="C867" i="4"/>
  <c r="B867" i="4"/>
  <c r="H867" i="4"/>
  <c r="G867" i="4"/>
  <c r="A868" i="4" s="1"/>
  <c r="F867" i="4"/>
  <c r="E867" i="4"/>
  <c r="B868" i="4" l="1"/>
  <c r="E868" i="4"/>
  <c r="D868" i="4"/>
  <c r="C868" i="4"/>
  <c r="F868" i="4"/>
  <c r="G868" i="4"/>
  <c r="A869" i="4" s="1"/>
  <c r="H868" i="4"/>
  <c r="G869" i="4" l="1"/>
  <c r="A870" i="4" s="1"/>
  <c r="F869" i="4"/>
  <c r="H869" i="4"/>
  <c r="B869" i="4"/>
  <c r="C869" i="4"/>
  <c r="D869" i="4"/>
  <c r="E869" i="4"/>
  <c r="H870" i="4" l="1"/>
  <c r="G870" i="4"/>
  <c r="A871" i="4" s="1"/>
  <c r="F870" i="4"/>
  <c r="E870" i="4"/>
  <c r="D870" i="4"/>
  <c r="C870" i="4"/>
  <c r="B870" i="4"/>
  <c r="D871" i="4" l="1"/>
  <c r="H871" i="4"/>
  <c r="E871" i="4"/>
  <c r="C871" i="4"/>
  <c r="F871" i="4"/>
  <c r="B871" i="4"/>
  <c r="G871" i="4"/>
  <c r="A872" i="4" s="1"/>
  <c r="G872" i="4" l="1"/>
  <c r="A873" i="4" s="1"/>
  <c r="F872" i="4"/>
  <c r="D872" i="4"/>
  <c r="B872" i="4"/>
  <c r="H872" i="4"/>
  <c r="E872" i="4"/>
  <c r="C872" i="4"/>
  <c r="H873" i="4" l="1"/>
  <c r="G873" i="4"/>
  <c r="A874" i="4" s="1"/>
  <c r="F873" i="4"/>
  <c r="E873" i="4"/>
  <c r="D873" i="4"/>
  <c r="C873" i="4"/>
  <c r="B873" i="4"/>
  <c r="F874" i="4" l="1"/>
  <c r="E874" i="4"/>
  <c r="D874" i="4"/>
  <c r="C874" i="4"/>
  <c r="B874" i="4"/>
  <c r="H874" i="4"/>
  <c r="G874" i="4"/>
  <c r="A875" i="4" s="1"/>
  <c r="G875" i="4" l="1"/>
  <c r="A876" i="4" s="1"/>
  <c r="F875" i="4"/>
  <c r="E875" i="4"/>
  <c r="H875" i="4"/>
  <c r="C875" i="4"/>
  <c r="B875" i="4"/>
  <c r="D875" i="4"/>
  <c r="B876" i="4" l="1"/>
  <c r="H876" i="4"/>
  <c r="F876" i="4"/>
  <c r="E876" i="4"/>
  <c r="D876" i="4"/>
  <c r="C876" i="4"/>
  <c r="G876" i="4"/>
  <c r="A877" i="4" s="1"/>
  <c r="H877" i="4" l="1"/>
  <c r="G877" i="4"/>
  <c r="A878" i="4" s="1"/>
  <c r="F877" i="4"/>
  <c r="E877" i="4"/>
  <c r="D877" i="4"/>
  <c r="C877" i="4"/>
  <c r="B877" i="4"/>
  <c r="G878" i="4" l="1"/>
  <c r="A879" i="4" s="1"/>
  <c r="F878" i="4"/>
  <c r="C878" i="4"/>
  <c r="B878" i="4"/>
  <c r="H878" i="4"/>
  <c r="E878" i="4"/>
  <c r="D878" i="4"/>
  <c r="D879" i="4" l="1"/>
  <c r="B879" i="4"/>
  <c r="G879" i="4"/>
  <c r="A880" i="4" s="1"/>
  <c r="F879" i="4"/>
  <c r="E879" i="4"/>
  <c r="C879" i="4"/>
  <c r="H879" i="4"/>
  <c r="H880" i="4" l="1"/>
  <c r="G880" i="4"/>
  <c r="A881" i="4" s="1"/>
  <c r="F880" i="4"/>
  <c r="E880" i="4"/>
  <c r="D880" i="4"/>
  <c r="C880" i="4"/>
  <c r="B880" i="4"/>
  <c r="G881" i="4" l="1"/>
  <c r="A882" i="4" s="1"/>
  <c r="F881" i="4"/>
  <c r="B881" i="4"/>
  <c r="H881" i="4"/>
  <c r="E881" i="4"/>
  <c r="D881" i="4"/>
  <c r="C881" i="4"/>
  <c r="G882" i="4" l="1"/>
  <c r="A883" i="4" s="1"/>
  <c r="E882" i="4"/>
  <c r="B882" i="4"/>
  <c r="H882" i="4"/>
  <c r="F882" i="4"/>
  <c r="D882" i="4"/>
  <c r="C882" i="4"/>
  <c r="H883" i="4" l="1"/>
  <c r="G883" i="4"/>
  <c r="A884" i="4" s="1"/>
  <c r="F883" i="4"/>
  <c r="E883" i="4"/>
  <c r="D883" i="4"/>
  <c r="C883" i="4"/>
  <c r="B883" i="4"/>
  <c r="G884" i="4" l="1"/>
  <c r="A885" i="4" s="1"/>
  <c r="F884" i="4"/>
  <c r="D884" i="4"/>
  <c r="H884" i="4"/>
  <c r="E884" i="4"/>
  <c r="C884" i="4"/>
  <c r="B884" i="4"/>
  <c r="H885" i="4" l="1"/>
  <c r="G885" i="4"/>
  <c r="A886" i="4" s="1"/>
  <c r="F885" i="4"/>
  <c r="E885" i="4"/>
  <c r="D885" i="4"/>
  <c r="C885" i="4"/>
  <c r="B885" i="4"/>
  <c r="B886" i="4" l="1"/>
  <c r="H886" i="4"/>
  <c r="G886" i="4"/>
  <c r="A887" i="4" s="1"/>
  <c r="F886" i="4"/>
  <c r="D886" i="4"/>
  <c r="E886" i="4"/>
  <c r="C886" i="4"/>
  <c r="G887" i="4" l="1"/>
  <c r="A888" i="4" s="1"/>
  <c r="F887" i="4"/>
  <c r="H887" i="4"/>
  <c r="E887" i="4"/>
  <c r="D887" i="4"/>
  <c r="C887" i="4"/>
  <c r="B887" i="4"/>
  <c r="H888" i="4" l="1"/>
  <c r="G888" i="4"/>
  <c r="A889" i="4" s="1"/>
  <c r="F888" i="4"/>
  <c r="E888" i="4"/>
  <c r="D888" i="4"/>
  <c r="C888" i="4"/>
  <c r="B888" i="4"/>
  <c r="E889" i="4" l="1"/>
  <c r="C889" i="4"/>
  <c r="F889" i="4"/>
  <c r="D889" i="4"/>
  <c r="B889" i="4"/>
  <c r="H889" i="4"/>
  <c r="G889" i="4"/>
  <c r="A890" i="4" s="1"/>
  <c r="G890" i="4" l="1"/>
  <c r="A891" i="4" s="1"/>
  <c r="F890" i="4"/>
  <c r="H890" i="4"/>
  <c r="E890" i="4"/>
  <c r="D890" i="4"/>
  <c r="C890" i="4"/>
  <c r="B890" i="4"/>
  <c r="B891" i="4" l="1"/>
  <c r="H891" i="4"/>
  <c r="F891" i="4"/>
  <c r="E891" i="4"/>
  <c r="D891" i="4"/>
  <c r="C891" i="4"/>
  <c r="G891" i="4"/>
  <c r="A892" i="4" s="1"/>
  <c r="H892" i="4" l="1"/>
  <c r="F892" i="4"/>
  <c r="G892" i="4"/>
  <c r="A893" i="4" s="1"/>
  <c r="E892" i="4"/>
  <c r="D892" i="4"/>
  <c r="C892" i="4"/>
  <c r="B892" i="4"/>
  <c r="G893" i="4" l="1"/>
  <c r="A894" i="4" s="1"/>
  <c r="F893" i="4"/>
  <c r="C893" i="4"/>
  <c r="B893" i="4"/>
  <c r="E893" i="4"/>
  <c r="H893" i="4"/>
  <c r="D893" i="4"/>
  <c r="D894" i="4" l="1"/>
  <c r="H894" i="4"/>
  <c r="G894" i="4"/>
  <c r="A895" i="4" s="1"/>
  <c r="C894" i="4"/>
  <c r="F894" i="4"/>
  <c r="E894" i="4"/>
  <c r="B894" i="4"/>
  <c r="H895" i="4" l="1"/>
  <c r="G895" i="4"/>
  <c r="A896" i="4" s="1"/>
  <c r="F895" i="4"/>
  <c r="E895" i="4"/>
  <c r="D895" i="4"/>
  <c r="C895" i="4"/>
  <c r="B895" i="4"/>
  <c r="G896" i="4" l="1"/>
  <c r="A897" i="4" s="1"/>
  <c r="F896" i="4"/>
  <c r="C896" i="4"/>
  <c r="H896" i="4"/>
  <c r="E896" i="4"/>
  <c r="D896" i="4"/>
  <c r="B896" i="4"/>
  <c r="F897" i="4" l="1"/>
  <c r="B897" i="4"/>
  <c r="H897" i="4"/>
  <c r="G897" i="4"/>
  <c r="A898" i="4" s="1"/>
  <c r="D897" i="4"/>
  <c r="E897" i="4"/>
  <c r="C897" i="4"/>
  <c r="H898" i="4" l="1"/>
  <c r="G898" i="4"/>
  <c r="A899" i="4" s="1"/>
  <c r="F898" i="4"/>
  <c r="E898" i="4"/>
  <c r="D898" i="4"/>
  <c r="C898" i="4"/>
  <c r="B898" i="4"/>
  <c r="G899" i="4" l="1"/>
  <c r="A900" i="4" s="1"/>
  <c r="F899" i="4"/>
  <c r="H899" i="4"/>
  <c r="D899" i="4"/>
  <c r="E899" i="4"/>
  <c r="C899" i="4"/>
  <c r="B899" i="4"/>
  <c r="H900" i="4" l="1"/>
  <c r="G900" i="4"/>
  <c r="A901" i="4" s="1"/>
  <c r="F900" i="4"/>
  <c r="E900" i="4"/>
  <c r="D900" i="4"/>
  <c r="C900" i="4"/>
  <c r="B900" i="4"/>
  <c r="H901" i="4" l="1"/>
  <c r="G901" i="4"/>
  <c r="A902" i="4" s="1"/>
  <c r="F901" i="4"/>
  <c r="E901" i="4"/>
  <c r="D901" i="4"/>
  <c r="C901" i="4"/>
  <c r="B901" i="4"/>
  <c r="G902" i="4" l="1"/>
  <c r="A903" i="4" s="1"/>
  <c r="F902" i="4"/>
  <c r="H902" i="4"/>
  <c r="D902" i="4"/>
  <c r="C902" i="4"/>
  <c r="B902" i="4"/>
  <c r="E902" i="4"/>
  <c r="C903" i="4" l="1"/>
  <c r="H903" i="4"/>
  <c r="G903" i="4"/>
  <c r="A904" i="4" s="1"/>
  <c r="F903" i="4"/>
  <c r="E903" i="4"/>
  <c r="D903" i="4"/>
  <c r="B903" i="4"/>
  <c r="B904" i="4" l="1"/>
  <c r="E904" i="4"/>
  <c r="D904" i="4"/>
  <c r="C904" i="4"/>
  <c r="G904" i="4"/>
  <c r="A905" i="4" s="1"/>
  <c r="H904" i="4"/>
  <c r="F904" i="4"/>
  <c r="G905" i="4" l="1"/>
  <c r="A906" i="4" s="1"/>
  <c r="F905" i="4"/>
  <c r="H905" i="4"/>
  <c r="E905" i="4"/>
  <c r="D905" i="4"/>
  <c r="C905" i="4"/>
  <c r="B905" i="4"/>
  <c r="F906" i="4" l="1"/>
  <c r="D906" i="4"/>
  <c r="H906" i="4"/>
  <c r="G906" i="4"/>
  <c r="A907" i="4" s="1"/>
  <c r="E906" i="4"/>
  <c r="C906" i="4"/>
  <c r="B906" i="4"/>
  <c r="D907" i="4" l="1"/>
  <c r="H907" i="4"/>
  <c r="G907" i="4"/>
  <c r="A908" i="4" s="1"/>
  <c r="F907" i="4"/>
  <c r="E907" i="4"/>
  <c r="C907" i="4"/>
  <c r="B907" i="4"/>
  <c r="G908" i="4" l="1"/>
  <c r="A909" i="4" s="1"/>
  <c r="F908" i="4"/>
  <c r="B908" i="4"/>
  <c r="H908" i="4"/>
  <c r="E908" i="4"/>
  <c r="D908" i="4"/>
  <c r="C908" i="4"/>
  <c r="G909" i="4" l="1"/>
  <c r="A910" i="4" s="1"/>
  <c r="D909" i="4"/>
  <c r="C909" i="4"/>
  <c r="H909" i="4"/>
  <c r="E909" i="4"/>
  <c r="F909" i="4"/>
  <c r="B909" i="4"/>
  <c r="F910" i="4" l="1"/>
  <c r="H910" i="4"/>
  <c r="G910" i="4"/>
  <c r="A911" i="4" s="1"/>
  <c r="E910" i="4"/>
  <c r="B910" i="4"/>
  <c r="D910" i="4"/>
  <c r="C910" i="4"/>
  <c r="G911" i="4" l="1"/>
  <c r="A912" i="4" s="1"/>
  <c r="F911" i="4"/>
  <c r="H911" i="4"/>
  <c r="E911" i="4"/>
  <c r="D911" i="4"/>
  <c r="C911" i="4"/>
  <c r="B911" i="4"/>
  <c r="H912" i="4" l="1"/>
  <c r="G912" i="4"/>
  <c r="A913" i="4" s="1"/>
  <c r="F912" i="4"/>
  <c r="E912" i="4"/>
  <c r="D912" i="4"/>
  <c r="C912" i="4"/>
  <c r="B912" i="4"/>
  <c r="H913" i="4" l="1"/>
  <c r="D913" i="4"/>
  <c r="B913" i="4"/>
  <c r="G913" i="4"/>
  <c r="A914" i="4" s="1"/>
  <c r="F913" i="4"/>
  <c r="E913" i="4"/>
  <c r="C913" i="4"/>
  <c r="G914" i="4" l="1"/>
  <c r="A915" i="4" s="1"/>
  <c r="F914" i="4"/>
  <c r="H914" i="4"/>
  <c r="E914" i="4"/>
  <c r="D914" i="4"/>
  <c r="C914" i="4"/>
  <c r="B914" i="4"/>
  <c r="F915" i="4" l="1"/>
  <c r="E915" i="4"/>
  <c r="D915" i="4"/>
  <c r="C915" i="4"/>
  <c r="B915" i="4"/>
  <c r="H915" i="4"/>
  <c r="G915" i="4"/>
  <c r="A916" i="4" s="1"/>
  <c r="G916" i="4" l="1"/>
  <c r="A917" i="4" s="1"/>
  <c r="E916" i="4"/>
  <c r="H916" i="4"/>
  <c r="F916" i="4"/>
  <c r="C916" i="4"/>
  <c r="B916" i="4"/>
  <c r="D916" i="4"/>
  <c r="G917" i="4" l="1"/>
  <c r="A918" i="4" s="1"/>
  <c r="F917" i="4"/>
  <c r="B917" i="4"/>
  <c r="H917" i="4"/>
  <c r="E917" i="4"/>
  <c r="D917" i="4"/>
  <c r="C917" i="4"/>
  <c r="H918" i="4" l="1"/>
  <c r="G918" i="4"/>
  <c r="A919" i="4" s="1"/>
  <c r="F918" i="4"/>
  <c r="E918" i="4"/>
  <c r="D918" i="4"/>
  <c r="C918" i="4"/>
  <c r="B918" i="4"/>
  <c r="H919" i="4" l="1"/>
  <c r="F919" i="4"/>
  <c r="C919" i="4"/>
  <c r="B919" i="4"/>
  <c r="E919" i="4"/>
  <c r="G919" i="4"/>
  <c r="A920" i="4" s="1"/>
  <c r="D919" i="4"/>
  <c r="G920" i="4" l="1"/>
  <c r="A921" i="4" s="1"/>
  <c r="F920" i="4"/>
  <c r="D920" i="4"/>
  <c r="B920" i="4"/>
  <c r="H920" i="4"/>
  <c r="E920" i="4"/>
  <c r="C920" i="4"/>
  <c r="H921" i="4" l="1"/>
  <c r="D921" i="4"/>
  <c r="C921" i="4"/>
  <c r="B921" i="4"/>
  <c r="G921" i="4"/>
  <c r="A922" i="4" s="1"/>
  <c r="E921" i="4"/>
  <c r="F921" i="4"/>
  <c r="H922" i="4" l="1"/>
  <c r="G922" i="4"/>
  <c r="A923" i="4" s="1"/>
  <c r="F922" i="4"/>
  <c r="E922" i="4"/>
  <c r="D922" i="4"/>
  <c r="C922" i="4"/>
  <c r="B922" i="4"/>
  <c r="G923" i="4" l="1"/>
  <c r="A924" i="4" s="1"/>
  <c r="F923" i="4"/>
  <c r="H923" i="4"/>
  <c r="E923" i="4"/>
  <c r="C923" i="4"/>
  <c r="B923" i="4"/>
  <c r="D923" i="4"/>
  <c r="G924" i="4" l="1"/>
  <c r="A925" i="4" s="1"/>
  <c r="F924" i="4"/>
  <c r="E924" i="4"/>
  <c r="D924" i="4"/>
  <c r="C924" i="4"/>
  <c r="B924" i="4"/>
  <c r="H924" i="4"/>
  <c r="H925" i="4" l="1"/>
  <c r="G925" i="4"/>
  <c r="A926" i="4" s="1"/>
  <c r="F925" i="4"/>
  <c r="D925" i="4"/>
  <c r="C925" i="4"/>
  <c r="B925" i="4"/>
  <c r="E925" i="4"/>
  <c r="G926" i="4" l="1"/>
  <c r="A927" i="4" s="1"/>
  <c r="F926" i="4"/>
  <c r="H926" i="4"/>
  <c r="D926" i="4"/>
  <c r="E926" i="4"/>
  <c r="C926" i="4"/>
  <c r="B926" i="4"/>
  <c r="B927" i="4" l="1"/>
  <c r="C927" i="4"/>
  <c r="E927" i="4"/>
  <c r="D927" i="4"/>
  <c r="H927" i="4"/>
  <c r="G927" i="4"/>
  <c r="A928" i="4" s="1"/>
  <c r="F927" i="4"/>
  <c r="H928" i="4" l="1"/>
  <c r="G928" i="4"/>
  <c r="A929" i="4" s="1"/>
  <c r="F928" i="4"/>
  <c r="E928" i="4"/>
  <c r="D928" i="4"/>
  <c r="C928" i="4"/>
  <c r="B928" i="4"/>
  <c r="G929" i="4" l="1"/>
  <c r="A930" i="4" s="1"/>
  <c r="F929" i="4"/>
  <c r="H929" i="4"/>
  <c r="E929" i="4"/>
  <c r="D929" i="4"/>
  <c r="C929" i="4"/>
  <c r="B929" i="4"/>
  <c r="D930" i="4" l="1"/>
  <c r="F930" i="4"/>
  <c r="C930" i="4"/>
  <c r="H930" i="4"/>
  <c r="G930" i="4"/>
  <c r="A931" i="4" s="1"/>
  <c r="E930" i="4"/>
  <c r="B930" i="4"/>
  <c r="C931" i="4" l="1"/>
  <c r="B931" i="4"/>
  <c r="H931" i="4"/>
  <c r="D931" i="4"/>
  <c r="G931" i="4"/>
  <c r="A932" i="4" s="1"/>
  <c r="F931" i="4"/>
  <c r="E931" i="4"/>
  <c r="G932" i="4" l="1"/>
  <c r="A933" i="4" s="1"/>
  <c r="F932" i="4"/>
  <c r="H932" i="4"/>
  <c r="E932" i="4"/>
  <c r="D932" i="4"/>
  <c r="C932" i="4"/>
  <c r="B932" i="4"/>
  <c r="F933" i="4" l="1"/>
  <c r="G933" i="4"/>
  <c r="A934" i="4" s="1"/>
  <c r="D933" i="4"/>
  <c r="H933" i="4"/>
  <c r="E933" i="4"/>
  <c r="B933" i="4"/>
  <c r="C933" i="4"/>
  <c r="H934" i="4" l="1"/>
  <c r="G934" i="4"/>
  <c r="A935" i="4" s="1"/>
  <c r="F934" i="4"/>
  <c r="E934" i="4"/>
  <c r="D934" i="4"/>
  <c r="C934" i="4"/>
  <c r="B934" i="4"/>
  <c r="G935" i="4" l="1"/>
  <c r="A936" i="4" s="1"/>
  <c r="F935" i="4"/>
  <c r="H935" i="4"/>
  <c r="E935" i="4"/>
  <c r="D935" i="4"/>
  <c r="C935" i="4"/>
  <c r="B935" i="4"/>
  <c r="H936" i="4" l="1"/>
  <c r="G936" i="4"/>
  <c r="A937" i="4" s="1"/>
  <c r="C936" i="4"/>
  <c r="B936" i="4"/>
  <c r="E936" i="4"/>
  <c r="F936" i="4"/>
  <c r="D936" i="4"/>
  <c r="D937" i="4" l="1"/>
  <c r="B937" i="4"/>
  <c r="H937" i="4"/>
  <c r="G937" i="4"/>
  <c r="A938" i="4" s="1"/>
  <c r="F937" i="4"/>
  <c r="E937" i="4"/>
  <c r="C937" i="4"/>
  <c r="G938" i="4" l="1"/>
  <c r="A939" i="4" s="1"/>
  <c r="F938" i="4"/>
  <c r="H938" i="4"/>
  <c r="E938" i="4"/>
  <c r="D938" i="4"/>
  <c r="C938" i="4"/>
  <c r="B938" i="4"/>
  <c r="H939" i="4" l="1"/>
  <c r="G939" i="4"/>
  <c r="A940" i="4" s="1"/>
  <c r="E939" i="4"/>
  <c r="D939" i="4"/>
  <c r="C939" i="4"/>
  <c r="F939" i="4"/>
  <c r="B939" i="4"/>
  <c r="B940" i="4" l="1"/>
  <c r="G940" i="4"/>
  <c r="A941" i="4" s="1"/>
  <c r="E940" i="4"/>
  <c r="C940" i="4"/>
  <c r="H940" i="4"/>
  <c r="F940" i="4"/>
  <c r="D940" i="4"/>
  <c r="G941" i="4" l="1"/>
  <c r="A942" i="4" s="1"/>
  <c r="F941" i="4"/>
  <c r="H941" i="4"/>
  <c r="E941" i="4"/>
  <c r="D941" i="4"/>
  <c r="C941" i="4"/>
  <c r="B941" i="4"/>
  <c r="G942" i="4" l="1"/>
  <c r="A943" i="4" s="1"/>
  <c r="F942" i="4"/>
  <c r="E942" i="4"/>
  <c r="D942" i="4"/>
  <c r="C942" i="4"/>
  <c r="B942" i="4"/>
  <c r="H942" i="4"/>
  <c r="D943" i="4" l="1"/>
  <c r="H943" i="4"/>
  <c r="F943" i="4"/>
  <c r="E943" i="4"/>
  <c r="C943" i="4"/>
  <c r="B943" i="4"/>
  <c r="G943" i="4"/>
  <c r="A944" i="4" s="1"/>
  <c r="G944" i="4" l="1"/>
  <c r="A945" i="4" s="1"/>
  <c r="F944" i="4"/>
  <c r="B944" i="4"/>
  <c r="C944" i="4"/>
  <c r="H944" i="4"/>
  <c r="E944" i="4"/>
  <c r="D944" i="4"/>
  <c r="H945" i="4" l="1"/>
  <c r="G945" i="4"/>
  <c r="A946" i="4" s="1"/>
  <c r="F945" i="4"/>
  <c r="E945" i="4"/>
  <c r="D945" i="4"/>
  <c r="C945" i="4"/>
  <c r="B945" i="4"/>
  <c r="F946" i="4" l="1"/>
  <c r="E946" i="4"/>
  <c r="D946" i="4"/>
  <c r="C946" i="4"/>
  <c r="B946" i="4"/>
  <c r="H946" i="4"/>
  <c r="G946" i="4"/>
  <c r="A947" i="4" s="1"/>
  <c r="G947" i="4" l="1"/>
  <c r="A948" i="4" s="1"/>
  <c r="F947" i="4"/>
  <c r="E947" i="4"/>
  <c r="C947" i="4"/>
  <c r="H947" i="4"/>
  <c r="D947" i="4"/>
  <c r="B947" i="4"/>
  <c r="C948" i="4" l="1"/>
  <c r="B948" i="4"/>
  <c r="D948" i="4"/>
  <c r="E948" i="4"/>
  <c r="H948" i="4"/>
  <c r="F948" i="4"/>
  <c r="G948" i="4"/>
  <c r="A949" i="4" s="1"/>
  <c r="H949" i="4" l="1"/>
  <c r="G949" i="4"/>
  <c r="A950" i="4" s="1"/>
  <c r="F949" i="4"/>
  <c r="E949" i="4"/>
  <c r="D949" i="4"/>
  <c r="C949" i="4"/>
  <c r="B949" i="4"/>
  <c r="G950" i="4" l="1"/>
  <c r="A951" i="4" s="1"/>
  <c r="F950" i="4"/>
  <c r="H950" i="4"/>
  <c r="D950" i="4"/>
  <c r="E950" i="4"/>
  <c r="C950" i="4"/>
  <c r="B950" i="4"/>
  <c r="B951" i="4" l="1"/>
  <c r="H951" i="4"/>
  <c r="F951" i="4"/>
  <c r="E951" i="4"/>
  <c r="D951" i="4"/>
  <c r="C951" i="4"/>
  <c r="G951" i="4"/>
  <c r="A952" i="4" s="1"/>
  <c r="H952" i="4" l="1"/>
  <c r="G952" i="4"/>
  <c r="A953" i="4" s="1"/>
  <c r="F952" i="4"/>
  <c r="E952" i="4"/>
  <c r="D952" i="4"/>
  <c r="C952" i="4"/>
  <c r="B952" i="4"/>
  <c r="G953" i="4" l="1"/>
  <c r="A954" i="4" s="1"/>
  <c r="F953" i="4"/>
  <c r="B953" i="4"/>
  <c r="H953" i="4"/>
  <c r="E953" i="4"/>
  <c r="D953" i="4"/>
  <c r="C953" i="4"/>
  <c r="E954" i="4" l="1"/>
  <c r="C954" i="4"/>
  <c r="G954" i="4"/>
  <c r="A955" i="4" s="1"/>
  <c r="F954" i="4"/>
  <c r="D954" i="4"/>
  <c r="B954" i="4"/>
  <c r="H954" i="4"/>
  <c r="G955" i="4" l="1"/>
  <c r="A956" i="4" s="1"/>
  <c r="F955" i="4"/>
  <c r="E955" i="4"/>
  <c r="C955" i="4"/>
  <c r="B955" i="4"/>
  <c r="H955" i="4"/>
  <c r="D955" i="4"/>
  <c r="G956" i="4" l="1"/>
  <c r="A957" i="4" s="1"/>
  <c r="F956" i="4"/>
  <c r="D956" i="4"/>
  <c r="H956" i="4"/>
  <c r="E956" i="4"/>
  <c r="C956" i="4"/>
  <c r="B956" i="4"/>
  <c r="H957" i="4" l="1"/>
  <c r="F957" i="4"/>
  <c r="D957" i="4"/>
  <c r="G957" i="4"/>
  <c r="A958" i="4" s="1"/>
  <c r="E957" i="4"/>
  <c r="C957" i="4"/>
  <c r="B957" i="4"/>
  <c r="E958" i="4" l="1"/>
  <c r="D958" i="4"/>
  <c r="C958" i="4"/>
  <c r="B958" i="4"/>
  <c r="H958" i="4"/>
  <c r="G958" i="4"/>
  <c r="A959" i="4" s="1"/>
  <c r="F958" i="4"/>
  <c r="G959" i="4" l="1"/>
  <c r="A960" i="4" s="1"/>
  <c r="F959" i="4"/>
  <c r="H959" i="4"/>
  <c r="E959" i="4"/>
  <c r="D959" i="4"/>
  <c r="C959" i="4"/>
  <c r="B959" i="4"/>
  <c r="G960" i="4" l="1"/>
  <c r="A961" i="4" s="1"/>
  <c r="H960" i="4"/>
  <c r="E960" i="4"/>
  <c r="D960" i="4"/>
  <c r="C960" i="4"/>
  <c r="B960" i="4"/>
  <c r="F960" i="4"/>
  <c r="C961" i="4" l="1"/>
  <c r="H961" i="4"/>
  <c r="G961" i="4"/>
  <c r="A962" i="4" s="1"/>
  <c r="F961" i="4"/>
  <c r="E961" i="4"/>
  <c r="D961" i="4"/>
  <c r="B961" i="4"/>
  <c r="G962" i="4" l="1"/>
  <c r="A963" i="4" s="1"/>
  <c r="F962" i="4"/>
  <c r="C962" i="4"/>
  <c r="B962" i="4"/>
  <c r="E962" i="4"/>
  <c r="D962" i="4"/>
  <c r="H962" i="4"/>
  <c r="B963" i="4" l="1"/>
  <c r="H963" i="4"/>
  <c r="G963" i="4"/>
  <c r="A964" i="4" s="1"/>
  <c r="F963" i="4"/>
  <c r="E963" i="4"/>
  <c r="C963" i="4"/>
  <c r="D963" i="4"/>
  <c r="F964" i="4" l="1"/>
  <c r="D964" i="4"/>
  <c r="B964" i="4"/>
  <c r="H964" i="4"/>
  <c r="G964" i="4"/>
  <c r="A965" i="4" s="1"/>
  <c r="E964" i="4"/>
  <c r="C964" i="4"/>
  <c r="G965" i="4" l="1"/>
  <c r="A966" i="4" s="1"/>
  <c r="F965" i="4"/>
  <c r="H965" i="4"/>
  <c r="E965" i="4"/>
  <c r="D965" i="4"/>
  <c r="C965" i="4"/>
  <c r="B965" i="4"/>
  <c r="D966" i="4" l="1"/>
  <c r="C966" i="4"/>
  <c r="B966" i="4"/>
  <c r="H966" i="4"/>
  <c r="G966" i="4"/>
  <c r="A967" i="4" s="1"/>
  <c r="F966" i="4"/>
  <c r="E966" i="4"/>
  <c r="G967" i="4" l="1"/>
  <c r="A968" i="4" s="1"/>
  <c r="E967" i="4"/>
  <c r="H967" i="4"/>
  <c r="F967" i="4"/>
  <c r="D967" i="4"/>
  <c r="C967" i="4"/>
  <c r="B967" i="4"/>
  <c r="G968" i="4" l="1"/>
  <c r="A969" i="4" s="1"/>
  <c r="F968" i="4"/>
  <c r="H968" i="4"/>
  <c r="D968" i="4"/>
  <c r="C968" i="4"/>
  <c r="B968" i="4"/>
  <c r="E968" i="4"/>
  <c r="F969" i="4" l="1"/>
  <c r="H969" i="4"/>
  <c r="G969" i="4"/>
  <c r="A970" i="4" s="1"/>
  <c r="E969" i="4"/>
  <c r="D969" i="4"/>
  <c r="C969" i="4"/>
  <c r="B969" i="4"/>
  <c r="H970" i="4" l="1"/>
  <c r="B970" i="4"/>
  <c r="G970" i="4"/>
  <c r="A971" i="4" s="1"/>
  <c r="F970" i="4"/>
  <c r="E970" i="4"/>
  <c r="D970" i="4"/>
  <c r="C970" i="4"/>
  <c r="G971" i="4" l="1"/>
  <c r="A972" i="4" s="1"/>
  <c r="F971" i="4"/>
  <c r="D971" i="4"/>
  <c r="B971" i="4"/>
  <c r="E971" i="4"/>
  <c r="C971" i="4"/>
  <c r="H971" i="4"/>
  <c r="H972" i="4" l="1"/>
  <c r="D972" i="4"/>
  <c r="C972" i="4"/>
  <c r="E972" i="4"/>
  <c r="F972" i="4"/>
  <c r="B972" i="4"/>
  <c r="G972" i="4"/>
  <c r="A973" i="4" s="1"/>
  <c r="H973" i="4" l="1"/>
  <c r="G973" i="4"/>
  <c r="A974" i="4" s="1"/>
  <c r="F973" i="4"/>
  <c r="E973" i="4"/>
  <c r="D973" i="4"/>
  <c r="C973" i="4"/>
  <c r="B973" i="4"/>
  <c r="G974" i="4" l="1"/>
  <c r="A975" i="4" s="1"/>
  <c r="F974" i="4"/>
  <c r="E974" i="4"/>
  <c r="C974" i="4"/>
  <c r="B974" i="4"/>
  <c r="H974" i="4"/>
  <c r="D974" i="4"/>
  <c r="H975" i="4" l="1"/>
  <c r="G975" i="4"/>
  <c r="A976" i="4" s="1"/>
  <c r="F975" i="4"/>
  <c r="E975" i="4"/>
  <c r="D975" i="4"/>
  <c r="C975" i="4"/>
  <c r="B975" i="4"/>
  <c r="B976" i="4" l="1"/>
  <c r="H976" i="4"/>
  <c r="G976" i="4"/>
  <c r="A977" i="4" s="1"/>
  <c r="F976" i="4"/>
  <c r="E976" i="4"/>
  <c r="D976" i="4"/>
  <c r="C976" i="4"/>
  <c r="G977" i="4" l="1"/>
  <c r="A978" i="4" s="1"/>
  <c r="F977" i="4"/>
  <c r="H977" i="4"/>
  <c r="E977" i="4"/>
  <c r="D977" i="4"/>
  <c r="C977" i="4"/>
  <c r="B977" i="4"/>
  <c r="D978" i="4" l="1"/>
  <c r="B978" i="4"/>
  <c r="H978" i="4"/>
  <c r="G978" i="4"/>
  <c r="A979" i="4" s="1"/>
  <c r="F978" i="4"/>
  <c r="E978" i="4"/>
  <c r="C978" i="4"/>
  <c r="D979" i="4" l="1"/>
  <c r="C979" i="4"/>
  <c r="B979" i="4"/>
  <c r="H979" i="4"/>
  <c r="G979" i="4"/>
  <c r="A980" i="4" s="1"/>
  <c r="F979" i="4"/>
  <c r="E979" i="4"/>
  <c r="G980" i="4" l="1"/>
  <c r="A981" i="4" s="1"/>
  <c r="F980" i="4"/>
  <c r="H980" i="4"/>
  <c r="E980" i="4"/>
  <c r="D980" i="4"/>
  <c r="C980" i="4"/>
  <c r="B980" i="4"/>
  <c r="G981" i="4" l="1"/>
  <c r="A982" i="4" s="1"/>
  <c r="E981" i="4"/>
  <c r="C981" i="4"/>
  <c r="H981" i="4"/>
  <c r="F981" i="4"/>
  <c r="D981" i="4"/>
  <c r="B981" i="4"/>
  <c r="F982" i="4" l="1"/>
  <c r="H982" i="4"/>
  <c r="G982" i="4"/>
  <c r="A983" i="4" s="1"/>
  <c r="E982" i="4"/>
  <c r="D982" i="4"/>
  <c r="C982" i="4"/>
  <c r="B982" i="4"/>
  <c r="G983" i="4" l="1"/>
  <c r="A984" i="4" s="1"/>
  <c r="F983" i="4"/>
  <c r="B983" i="4"/>
  <c r="H983" i="4"/>
  <c r="E983" i="4"/>
  <c r="D983" i="4"/>
  <c r="C983" i="4"/>
  <c r="H984" i="4" l="1"/>
  <c r="F984" i="4"/>
  <c r="G984" i="4"/>
  <c r="A985" i="4" s="1"/>
  <c r="E984" i="4"/>
  <c r="D984" i="4"/>
  <c r="B984" i="4"/>
  <c r="C984" i="4"/>
  <c r="H985" i="4" l="1"/>
  <c r="B985" i="4"/>
  <c r="G985" i="4"/>
  <c r="A986" i="4" s="1"/>
  <c r="F985" i="4"/>
  <c r="E985" i="4"/>
  <c r="D985" i="4"/>
  <c r="C985" i="4"/>
  <c r="G986" i="4" l="1"/>
  <c r="A987" i="4" s="1"/>
  <c r="F986" i="4"/>
  <c r="E986" i="4"/>
  <c r="D986" i="4"/>
  <c r="C986" i="4"/>
  <c r="B986" i="4"/>
  <c r="H986" i="4"/>
  <c r="H987" i="4" l="1"/>
  <c r="G987" i="4"/>
  <c r="A988" i="4" s="1"/>
  <c r="F987" i="4"/>
  <c r="E987" i="4"/>
  <c r="D987" i="4"/>
  <c r="C987" i="4"/>
  <c r="B987" i="4"/>
  <c r="E988" i="4" l="1"/>
  <c r="C988" i="4"/>
  <c r="H988" i="4"/>
  <c r="G988" i="4"/>
  <c r="A989" i="4" s="1"/>
  <c r="F988" i="4"/>
  <c r="D988" i="4"/>
  <c r="B988" i="4"/>
  <c r="G989" i="4" l="1"/>
  <c r="A990" i="4" s="1"/>
  <c r="F989" i="4"/>
  <c r="B989" i="4"/>
  <c r="H989" i="4"/>
  <c r="E989" i="4"/>
  <c r="D989" i="4"/>
  <c r="C989" i="4"/>
  <c r="H990" i="4" l="1"/>
  <c r="G990" i="4"/>
  <c r="A991" i="4" s="1"/>
  <c r="C990" i="4"/>
  <c r="E990" i="4"/>
  <c r="D990" i="4"/>
  <c r="B990" i="4"/>
  <c r="F990" i="4"/>
  <c r="H991" i="4" l="1"/>
  <c r="F991" i="4"/>
  <c r="D991" i="4"/>
  <c r="E991" i="4"/>
  <c r="C991" i="4"/>
  <c r="B991" i="4"/>
  <c r="G991" i="4"/>
  <c r="A992" i="4" s="1"/>
  <c r="G992" i="4" l="1"/>
  <c r="A993" i="4" s="1"/>
  <c r="F992" i="4"/>
  <c r="D992" i="4"/>
  <c r="H992" i="4"/>
  <c r="E992" i="4"/>
  <c r="C992" i="4"/>
  <c r="B992" i="4"/>
  <c r="F993" i="4" l="1"/>
  <c r="E993" i="4"/>
  <c r="D993" i="4"/>
  <c r="C993" i="4"/>
  <c r="B993" i="4"/>
  <c r="H993" i="4"/>
  <c r="G993" i="4"/>
  <c r="A994" i="4" s="1"/>
  <c r="G994" i="4" l="1"/>
  <c r="A995" i="4" s="1"/>
  <c r="F994" i="4"/>
  <c r="E994" i="4"/>
  <c r="D994" i="4"/>
  <c r="C994" i="4"/>
  <c r="B994" i="4"/>
  <c r="H994" i="4"/>
  <c r="G995" i="4" l="1"/>
  <c r="A996" i="4" s="1"/>
  <c r="F995" i="4"/>
  <c r="H995" i="4"/>
  <c r="C995" i="4"/>
  <c r="E995" i="4"/>
  <c r="D995" i="4"/>
  <c r="B995" i="4"/>
  <c r="H996" i="4" l="1"/>
  <c r="G996" i="4"/>
  <c r="A997" i="4" s="1"/>
  <c r="F996" i="4"/>
  <c r="E996" i="4"/>
  <c r="D996" i="4"/>
  <c r="C996" i="4"/>
  <c r="B996" i="4"/>
  <c r="D997" i="4" l="1"/>
  <c r="C997" i="4"/>
  <c r="B997" i="4"/>
  <c r="H997" i="4"/>
  <c r="F997" i="4"/>
  <c r="G997" i="4"/>
  <c r="A998" i="4" s="1"/>
  <c r="E997" i="4"/>
  <c r="G998" i="4" l="1"/>
  <c r="A999" i="4" s="1"/>
  <c r="F998" i="4"/>
  <c r="H998" i="4"/>
  <c r="D998" i="4"/>
  <c r="B998" i="4"/>
  <c r="E998" i="4"/>
  <c r="C998" i="4"/>
  <c r="B999" i="4" l="1"/>
  <c r="H999" i="4"/>
  <c r="G999" i="4"/>
  <c r="A1000" i="4" s="1"/>
  <c r="F999" i="4"/>
  <c r="E999" i="4"/>
  <c r="D999" i="4"/>
  <c r="C999" i="4"/>
  <c r="H1000" i="4" l="1"/>
  <c r="G1000" i="4"/>
  <c r="A1001" i="4" s="1"/>
  <c r="F1000" i="4"/>
  <c r="E1000" i="4"/>
  <c r="D1000" i="4"/>
  <c r="C1000" i="4"/>
  <c r="B1000" i="4"/>
  <c r="G1001" i="4" l="1"/>
  <c r="A1002" i="4" s="1"/>
  <c r="F1001" i="4"/>
  <c r="E1001" i="4"/>
  <c r="B1001" i="4"/>
  <c r="D1001" i="4"/>
  <c r="C1001" i="4"/>
  <c r="H1001" i="4"/>
  <c r="D1002" i="4" l="1"/>
  <c r="C1002" i="4"/>
  <c r="H1002" i="4"/>
  <c r="G1002" i="4"/>
  <c r="A1003" i="4" s="1"/>
  <c r="B1002" i="4"/>
  <c r="E1002" i="4"/>
  <c r="F1002" i="4"/>
  <c r="H1003" i="4" l="1"/>
  <c r="G1003" i="4"/>
  <c r="A1004" i="4" s="1"/>
  <c r="E1003" i="4"/>
  <c r="D1003" i="4"/>
  <c r="C1003" i="4"/>
  <c r="B1003" i="4"/>
  <c r="F1003" i="4"/>
  <c r="G1004" i="4" l="1"/>
  <c r="A1005" i="4" s="1"/>
  <c r="F1004" i="4"/>
  <c r="H1004" i="4"/>
  <c r="E1004" i="4"/>
  <c r="D1004" i="4"/>
  <c r="C1004" i="4"/>
  <c r="B1004" i="4"/>
  <c r="F1005" i="4" l="1"/>
  <c r="G1005" i="4"/>
  <c r="A1006" i="4" s="1"/>
  <c r="D1005" i="4"/>
  <c r="B1005" i="4"/>
  <c r="C1005" i="4"/>
  <c r="H1005" i="4"/>
  <c r="E1005" i="4"/>
  <c r="F1006" i="4" l="1"/>
  <c r="E1006" i="4"/>
  <c r="D1006" i="4"/>
  <c r="C1006" i="4"/>
  <c r="B1006" i="4"/>
  <c r="H1006" i="4"/>
  <c r="G1006" i="4"/>
  <c r="A1007" i="4" s="1"/>
  <c r="G1007" i="4" l="1"/>
  <c r="A1008" i="4" s="1"/>
  <c r="F1007" i="4"/>
  <c r="H1007" i="4"/>
  <c r="E1007" i="4"/>
  <c r="D1007" i="4"/>
  <c r="B1007" i="4"/>
  <c r="C1007" i="4"/>
  <c r="H1008" i="4" l="1"/>
  <c r="G1008" i="4"/>
  <c r="A1009" i="4" s="1"/>
  <c r="E1008" i="4"/>
  <c r="F1008" i="4"/>
  <c r="D1008" i="4"/>
  <c r="C1008" i="4"/>
  <c r="B1008" i="4"/>
  <c r="B1009" i="4" l="1"/>
  <c r="D1009" i="4"/>
  <c r="C1009" i="4"/>
  <c r="H1009" i="4"/>
  <c r="E1009" i="4"/>
  <c r="G1009" i="4"/>
  <c r="A1010" i="4" s="1"/>
  <c r="F1009" i="4"/>
  <c r="G1010" i="4" l="1"/>
  <c r="A1011" i="4" s="1"/>
  <c r="F1010" i="4"/>
  <c r="H1010" i="4"/>
  <c r="E1010" i="4"/>
  <c r="D1010" i="4"/>
  <c r="B1010" i="4"/>
  <c r="C1010" i="4"/>
  <c r="H1011" i="4" l="1"/>
  <c r="G1011" i="4"/>
  <c r="A1012" i="4" s="1"/>
  <c r="F1011" i="4"/>
  <c r="E1011" i="4"/>
  <c r="D1011" i="4"/>
  <c r="C1011" i="4"/>
  <c r="B1011" i="4"/>
  <c r="B1012" i="4" l="1"/>
  <c r="E1012" i="4"/>
  <c r="C1012" i="4"/>
  <c r="H1012" i="4"/>
  <c r="G1012" i="4"/>
  <c r="A1013" i="4" s="1"/>
  <c r="F1012" i="4"/>
  <c r="D1012" i="4"/>
  <c r="G1013" i="4" l="1"/>
  <c r="A1014" i="4" s="1"/>
  <c r="F1013" i="4"/>
  <c r="B1013" i="4"/>
  <c r="H1013" i="4"/>
  <c r="E1013" i="4"/>
  <c r="D1013" i="4"/>
  <c r="C1013" i="4"/>
  <c r="D1014" i="4" l="1"/>
  <c r="C1014" i="4"/>
  <c r="F1014" i="4"/>
  <c r="H1014" i="4"/>
  <c r="G1014" i="4"/>
  <c r="A1015" i="4" s="1"/>
  <c r="E1014" i="4"/>
  <c r="B1014" i="4"/>
  <c r="D1015" i="4" l="1"/>
  <c r="H1015" i="4"/>
  <c r="F1015" i="4"/>
  <c r="C1015" i="4"/>
  <c r="G1015" i="4"/>
  <c r="A1016" i="4" s="1"/>
  <c r="E1015" i="4"/>
  <c r="B1015" i="4"/>
  <c r="G1016" i="4" l="1"/>
  <c r="A1017" i="4" s="1"/>
  <c r="F1016" i="4"/>
  <c r="H1016" i="4"/>
  <c r="E1016" i="4"/>
  <c r="D1016" i="4"/>
  <c r="C1016" i="4"/>
  <c r="B1016" i="4"/>
  <c r="B1017" i="4" l="1"/>
  <c r="H1017" i="4"/>
  <c r="G1017" i="4"/>
  <c r="A1018" i="4" s="1"/>
  <c r="F1017" i="4"/>
  <c r="E1017" i="4"/>
  <c r="D1017" i="4"/>
  <c r="C1017" i="4"/>
  <c r="F1018" i="4" l="1"/>
  <c r="G1018" i="4"/>
  <c r="A1019" i="4" s="1"/>
  <c r="B1018" i="4"/>
  <c r="H1018" i="4"/>
  <c r="E1018" i="4"/>
  <c r="D1018" i="4"/>
  <c r="C1018" i="4"/>
  <c r="G1019" i="4" l="1"/>
  <c r="A1020" i="4" s="1"/>
  <c r="F1019" i="4"/>
  <c r="C1019" i="4"/>
  <c r="H1019" i="4"/>
  <c r="E1019" i="4"/>
  <c r="D1019" i="4"/>
  <c r="B1019" i="4"/>
  <c r="H1020" i="4" l="1"/>
  <c r="G1020" i="4"/>
  <c r="A1021" i="4" s="1"/>
  <c r="F1020" i="4"/>
  <c r="E1020" i="4"/>
  <c r="D1020" i="4"/>
  <c r="C1020" i="4"/>
  <c r="B1020" i="4"/>
  <c r="H1021" i="4" l="1"/>
  <c r="G1021" i="4"/>
  <c r="A1022" i="4" s="1"/>
  <c r="E1021" i="4"/>
  <c r="D1021" i="4"/>
  <c r="C1021" i="4"/>
  <c r="B1021" i="4"/>
  <c r="F1021" i="4"/>
  <c r="G1022" i="4" l="1"/>
  <c r="A1023" i="4" s="1"/>
  <c r="F1022" i="4"/>
  <c r="H1022" i="4"/>
  <c r="D1022" i="4"/>
  <c r="B1022" i="4"/>
  <c r="E1022" i="4"/>
  <c r="C1022" i="4"/>
  <c r="H1023" i="4" l="1"/>
  <c r="G1023" i="4"/>
  <c r="A1024" i="4" s="1"/>
  <c r="F1023" i="4"/>
  <c r="E1023" i="4"/>
  <c r="D1023" i="4"/>
  <c r="C1023" i="4"/>
  <c r="B1023" i="4"/>
  <c r="F1024" i="4" l="1"/>
  <c r="E1024" i="4"/>
  <c r="D1024" i="4"/>
  <c r="C1024" i="4"/>
  <c r="B1024" i="4"/>
  <c r="H1024" i="4"/>
  <c r="G1024" i="4"/>
  <c r="A1025" i="4" s="1"/>
  <c r="G1025" i="4" l="1"/>
  <c r="A1026" i="4" s="1"/>
  <c r="F1025" i="4"/>
  <c r="B1025" i="4"/>
  <c r="E1025" i="4"/>
  <c r="C1025" i="4"/>
  <c r="H1025" i="4"/>
  <c r="D1025" i="4"/>
  <c r="C1026" i="4" l="1"/>
  <c r="G1026" i="4"/>
  <c r="A1027" i="4" s="1"/>
  <c r="E1026" i="4"/>
  <c r="F1026" i="4"/>
  <c r="D1026" i="4"/>
  <c r="H1026" i="4"/>
  <c r="B1026" i="4"/>
  <c r="H1027" i="4" l="1"/>
  <c r="G1027" i="4"/>
  <c r="A1028" i="4" s="1"/>
  <c r="F1027" i="4"/>
  <c r="E1027" i="4"/>
  <c r="D1027" i="4"/>
  <c r="C1027" i="4"/>
  <c r="B1027" i="4"/>
  <c r="C1028" i="4" l="1"/>
  <c r="H1028" i="4"/>
  <c r="G1028" i="4"/>
  <c r="A1029" i="4" s="1"/>
  <c r="E1028" i="4"/>
  <c r="F1028" i="4"/>
  <c r="D1028" i="4"/>
  <c r="B1028" i="4"/>
  <c r="G1029" i="4" l="1"/>
  <c r="A1030" i="4" s="1"/>
  <c r="E1029" i="4"/>
  <c r="C1029" i="4"/>
  <c r="H1029" i="4"/>
  <c r="F1029" i="4"/>
  <c r="D1029" i="4"/>
  <c r="B1029" i="4"/>
  <c r="C1030" i="4" l="1"/>
  <c r="B1030" i="4"/>
  <c r="H1030" i="4"/>
  <c r="G1030" i="4"/>
  <c r="A1031" i="4" s="1"/>
  <c r="F1030" i="4"/>
  <c r="E1030" i="4"/>
  <c r="D1030" i="4"/>
  <c r="C1031" i="4" l="1"/>
  <c r="H1031" i="4"/>
  <c r="G1031" i="4"/>
  <c r="A1032" i="4" s="1"/>
  <c r="F1031" i="4"/>
  <c r="E1031" i="4"/>
  <c r="D1031" i="4"/>
  <c r="B1031" i="4"/>
  <c r="B1032" i="4" l="1"/>
  <c r="G1032" i="4"/>
  <c r="A1033" i="4" s="1"/>
  <c r="H1032" i="4"/>
  <c r="F1032" i="4"/>
  <c r="E1032" i="4"/>
  <c r="D1032" i="4"/>
  <c r="C1032" i="4"/>
  <c r="C1033" i="4" l="1"/>
  <c r="H1033" i="4"/>
  <c r="F1033" i="4"/>
  <c r="E1033" i="4"/>
  <c r="D1033" i="4"/>
  <c r="G1033" i="4"/>
  <c r="A1034" i="4" s="1"/>
  <c r="B1033" i="4"/>
  <c r="C1034" i="4" l="1"/>
  <c r="H1034" i="4"/>
  <c r="G1034" i="4"/>
  <c r="A1035" i="4" s="1"/>
  <c r="F1034" i="4"/>
  <c r="E1034" i="4"/>
  <c r="D1034" i="4"/>
  <c r="B1034" i="4"/>
  <c r="B1035" i="4" l="1"/>
  <c r="E1035" i="4"/>
  <c r="H1035" i="4"/>
  <c r="G1035" i="4"/>
  <c r="A1036" i="4" s="1"/>
  <c r="F1035" i="4"/>
  <c r="D1035" i="4"/>
  <c r="C1035" i="4"/>
  <c r="G1036" i="4" l="1"/>
  <c r="A1037" i="4" s="1"/>
  <c r="E1036" i="4"/>
  <c r="C1036" i="4"/>
  <c r="H1036" i="4"/>
  <c r="F1036" i="4"/>
  <c r="D1036" i="4"/>
  <c r="B1036" i="4"/>
  <c r="C1037" i="4" l="1"/>
  <c r="H1037" i="4"/>
  <c r="D1037" i="4"/>
  <c r="G1037" i="4"/>
  <c r="A1038" i="4" s="1"/>
  <c r="F1037" i="4"/>
  <c r="E1037" i="4"/>
  <c r="B1037" i="4"/>
  <c r="C1038" i="4" l="1"/>
  <c r="B1038" i="4"/>
  <c r="H1038" i="4"/>
  <c r="G1038" i="4"/>
  <c r="A1039" i="4" s="1"/>
  <c r="F1038" i="4"/>
  <c r="E1038" i="4"/>
  <c r="D1038" i="4"/>
  <c r="G1039" i="4" l="1"/>
  <c r="A1040" i="4" s="1"/>
  <c r="H1039" i="4"/>
  <c r="F1039" i="4"/>
  <c r="E1039" i="4"/>
  <c r="D1039" i="4"/>
  <c r="B1039" i="4"/>
  <c r="C1039" i="4"/>
  <c r="C1040" i="4" l="1"/>
  <c r="D1040" i="4"/>
  <c r="H1040" i="4"/>
  <c r="G1040" i="4"/>
  <c r="A1041" i="4" s="1"/>
  <c r="F1040" i="4"/>
  <c r="E1040" i="4"/>
  <c r="B1040" i="4"/>
  <c r="D1041" i="4" l="1"/>
  <c r="C1041" i="4"/>
  <c r="H1041" i="4"/>
  <c r="G1041" i="4"/>
  <c r="A1042" i="4" s="1"/>
  <c r="F1041" i="4"/>
  <c r="E1041" i="4"/>
  <c r="B1041" i="4"/>
  <c r="C1042" i="4" l="1"/>
  <c r="D1042" i="4"/>
  <c r="B1042" i="4"/>
  <c r="H1042" i="4"/>
  <c r="E1042" i="4"/>
  <c r="G1042" i="4"/>
  <c r="A1043" i="4" s="1"/>
  <c r="F1042" i="4"/>
  <c r="C1043" i="4" l="1"/>
  <c r="H1043" i="4"/>
  <c r="F1043" i="4"/>
  <c r="D1043" i="4"/>
  <c r="G1043" i="4"/>
  <c r="A1044" i="4" s="1"/>
  <c r="E1043" i="4"/>
  <c r="B1043" i="4"/>
  <c r="E1044" i="4" l="1"/>
  <c r="D1044" i="4"/>
  <c r="H1044" i="4"/>
  <c r="G1044" i="4"/>
  <c r="A1045" i="4" s="1"/>
  <c r="F1044" i="4"/>
  <c r="C1044" i="4"/>
  <c r="B1044" i="4"/>
  <c r="F1045" i="4" l="1"/>
  <c r="B1045" i="4"/>
  <c r="G1045" i="4"/>
  <c r="A1046" i="4" s="1"/>
  <c r="E1045" i="4"/>
  <c r="D1045" i="4"/>
  <c r="H1045" i="4"/>
  <c r="C1045" i="4"/>
  <c r="C1046" i="4" l="1"/>
  <c r="H1046" i="4"/>
  <c r="G1046" i="4"/>
  <c r="A1047" i="4" s="1"/>
  <c r="F1046" i="4"/>
  <c r="E1046" i="4"/>
  <c r="D1046" i="4"/>
  <c r="B1046" i="4"/>
  <c r="F1047" i="4" l="1"/>
  <c r="E1047" i="4"/>
  <c r="D1047" i="4"/>
  <c r="B1047" i="4"/>
  <c r="H1047" i="4"/>
  <c r="G1047" i="4"/>
  <c r="A1048" i="4" s="1"/>
  <c r="C1047" i="4"/>
  <c r="H1048" i="4" l="1"/>
  <c r="G1048" i="4"/>
  <c r="A1049" i="4" s="1"/>
  <c r="F1048" i="4"/>
  <c r="E1048" i="4"/>
  <c r="D1048" i="4"/>
  <c r="C1048" i="4"/>
  <c r="B1048" i="4"/>
  <c r="C1049" i="4" l="1"/>
  <c r="B1049" i="4"/>
  <c r="H1049" i="4"/>
  <c r="G1049" i="4"/>
  <c r="A1050" i="4" s="1"/>
  <c r="F1049" i="4"/>
  <c r="E1049" i="4"/>
  <c r="D1049" i="4"/>
  <c r="G1050" i="4" l="1"/>
  <c r="A1051" i="4" s="1"/>
  <c r="F1050" i="4"/>
  <c r="H1050" i="4"/>
  <c r="D1050" i="4"/>
  <c r="C1050" i="4"/>
  <c r="B1050" i="4"/>
  <c r="E1050" i="4"/>
  <c r="B1051" i="4" l="1"/>
  <c r="E1051" i="4"/>
  <c r="D1051" i="4"/>
  <c r="C1051" i="4"/>
  <c r="F1051" i="4"/>
  <c r="G1051" i="4"/>
  <c r="A1052" i="4" s="1"/>
  <c r="H1051" i="4"/>
  <c r="C1052" i="4" l="1"/>
  <c r="E1052" i="4"/>
  <c r="H1052" i="4"/>
  <c r="G1052" i="4"/>
  <c r="A1053" i="4" s="1"/>
  <c r="F1052" i="4"/>
  <c r="D1052" i="4"/>
  <c r="B1052" i="4"/>
  <c r="H1053" i="4" l="1"/>
  <c r="G1053" i="4"/>
  <c r="A1054" i="4" s="1"/>
  <c r="B1053" i="4"/>
  <c r="F1053" i="4"/>
  <c r="E1053" i="4"/>
  <c r="D1053" i="4"/>
  <c r="C1053" i="4"/>
  <c r="F1054" i="4" l="1"/>
  <c r="D1054" i="4"/>
  <c r="B1054" i="4"/>
  <c r="G1054" i="4"/>
  <c r="A1055" i="4" s="1"/>
  <c r="E1054" i="4"/>
  <c r="C1054" i="4"/>
  <c r="H1054" i="4"/>
  <c r="C1055" i="4" l="1"/>
  <c r="H1055" i="4"/>
  <c r="G1055" i="4"/>
  <c r="A1056" i="4" s="1"/>
  <c r="F1055" i="4"/>
  <c r="E1055" i="4"/>
  <c r="D1055" i="4"/>
  <c r="B1055" i="4"/>
  <c r="H1056" i="4" l="1"/>
  <c r="G1056" i="4"/>
  <c r="A1057" i="4" s="1"/>
  <c r="F1056" i="4"/>
  <c r="E1056" i="4"/>
  <c r="D1056" i="4"/>
  <c r="C1056" i="4"/>
  <c r="B1056" i="4"/>
  <c r="H1057" i="4" l="1"/>
  <c r="F1057" i="4"/>
  <c r="C1057" i="4"/>
  <c r="B1057" i="4"/>
  <c r="G1057" i="4"/>
  <c r="A1058" i="4" s="1"/>
  <c r="E1057" i="4"/>
  <c r="D1057" i="4"/>
  <c r="C1058" i="4" l="1"/>
  <c r="B1058" i="4"/>
  <c r="H1058" i="4"/>
  <c r="G1058" i="4"/>
  <c r="A1059" i="4" s="1"/>
  <c r="F1058" i="4"/>
  <c r="D1058" i="4"/>
  <c r="E1058" i="4"/>
  <c r="H1059" i="4" l="1"/>
  <c r="F1059" i="4"/>
  <c r="E1059" i="4"/>
  <c r="D1059" i="4"/>
  <c r="C1059" i="4"/>
  <c r="G1059" i="4"/>
  <c r="A1060" i="4" s="1"/>
  <c r="B1059" i="4"/>
  <c r="B1060" i="4" l="1"/>
  <c r="H1060" i="4"/>
  <c r="G1060" i="4"/>
  <c r="A1061" i="4" s="1"/>
  <c r="F1060" i="4"/>
  <c r="E1060" i="4"/>
  <c r="D1060" i="4"/>
  <c r="C1060" i="4"/>
  <c r="C1061" i="4" l="1"/>
  <c r="G1061" i="4"/>
  <c r="A1062" i="4" s="1"/>
  <c r="H1061" i="4"/>
  <c r="F1061" i="4"/>
  <c r="E1061" i="4"/>
  <c r="D1061" i="4"/>
  <c r="B1061" i="4"/>
  <c r="G1062" i="4" l="1"/>
  <c r="A1063" i="4" s="1"/>
  <c r="F1062" i="4"/>
  <c r="E1062" i="4"/>
  <c r="C1062" i="4"/>
  <c r="H1062" i="4"/>
  <c r="D1062" i="4"/>
  <c r="B1062" i="4"/>
  <c r="C1063" i="4" l="1"/>
  <c r="B1063" i="4"/>
  <c r="H1063" i="4"/>
  <c r="G1063" i="4"/>
  <c r="A1064" i="4" s="1"/>
  <c r="F1063" i="4"/>
  <c r="D1063" i="4"/>
  <c r="E1063" i="4"/>
  <c r="C1064" i="4" l="1"/>
  <c r="D1064" i="4"/>
  <c r="B1064" i="4"/>
  <c r="F1064" i="4"/>
  <c r="H1064" i="4"/>
  <c r="G1064" i="4"/>
  <c r="A1065" i="4" s="1"/>
  <c r="E1064" i="4"/>
  <c r="H1065" i="4" l="1"/>
  <c r="G1065" i="4"/>
  <c r="A1066" i="4" s="1"/>
  <c r="F1065" i="4"/>
  <c r="E1065" i="4"/>
  <c r="D1065" i="4"/>
  <c r="C1065" i="4"/>
  <c r="B1065" i="4"/>
  <c r="D1066" i="4" l="1"/>
  <c r="C1066" i="4"/>
  <c r="B1066" i="4"/>
  <c r="G1066" i="4"/>
  <c r="A1067" i="4" s="1"/>
  <c r="E1066" i="4"/>
  <c r="H1066" i="4"/>
  <c r="F1066" i="4"/>
  <c r="C1067" i="4" l="1"/>
  <c r="H1067" i="4"/>
  <c r="D1067" i="4"/>
  <c r="B1067" i="4"/>
  <c r="G1067" i="4"/>
  <c r="A1068" i="4" s="1"/>
  <c r="F1067" i="4"/>
  <c r="E1067" i="4"/>
  <c r="H1068" i="4" l="1"/>
  <c r="G1068" i="4"/>
  <c r="A1069" i="4" s="1"/>
  <c r="E1068" i="4"/>
  <c r="D1068" i="4"/>
  <c r="C1068" i="4"/>
  <c r="B1068" i="4"/>
  <c r="F1068" i="4"/>
  <c r="E1069" i="4" l="1"/>
  <c r="D1069" i="4"/>
  <c r="C1069" i="4"/>
  <c r="H1069" i="4"/>
  <c r="G1069" i="4"/>
  <c r="A1070" i="4" s="1"/>
  <c r="F1069" i="4"/>
  <c r="B1069" i="4"/>
  <c r="C1070" i="4" l="1"/>
  <c r="H1070" i="4"/>
  <c r="F1070" i="4"/>
  <c r="G1070" i="4"/>
  <c r="A1071" i="4" s="1"/>
  <c r="E1070" i="4"/>
  <c r="D1070" i="4"/>
  <c r="B1070" i="4"/>
  <c r="H1071" i="4" l="1"/>
  <c r="G1071" i="4"/>
  <c r="A1072" i="4" s="1"/>
  <c r="B1071" i="4"/>
  <c r="F1071" i="4"/>
  <c r="E1071" i="4"/>
  <c r="D1071" i="4"/>
  <c r="C1071" i="4"/>
  <c r="F1072" i="4" l="1"/>
  <c r="E1072" i="4"/>
  <c r="D1072" i="4"/>
  <c r="B1072" i="4"/>
  <c r="C1072" i="4"/>
  <c r="G1072" i="4"/>
  <c r="A1073" i="4" s="1"/>
  <c r="H1072" i="4"/>
  <c r="C1073" i="4" l="1"/>
  <c r="H1073" i="4"/>
  <c r="G1073" i="4"/>
  <c r="A1074" i="4" s="1"/>
  <c r="F1073" i="4"/>
  <c r="E1073" i="4"/>
  <c r="D1073" i="4"/>
  <c r="B1073" i="4"/>
  <c r="H1074" i="4" l="1"/>
  <c r="F1074" i="4"/>
  <c r="G1074" i="4"/>
  <c r="A1075" i="4" s="1"/>
  <c r="E1074" i="4"/>
  <c r="D1074" i="4"/>
  <c r="C1074" i="4"/>
  <c r="B1074" i="4"/>
  <c r="G1075" i="4" l="1"/>
  <c r="A1076" i="4" s="1"/>
  <c r="F1075" i="4"/>
  <c r="E1075" i="4"/>
  <c r="D1075" i="4"/>
  <c r="C1075" i="4"/>
  <c r="B1075" i="4"/>
  <c r="H1075" i="4"/>
  <c r="C1076" i="4" l="1"/>
  <c r="G1076" i="4"/>
  <c r="A1077" i="4" s="1"/>
  <c r="B1076" i="4"/>
  <c r="H1076" i="4"/>
  <c r="F1076" i="4"/>
  <c r="E1076" i="4"/>
  <c r="D1076" i="4"/>
  <c r="D1077" i="4" l="1"/>
  <c r="C1077" i="4"/>
  <c r="B1077" i="4"/>
  <c r="H1077" i="4"/>
  <c r="G1077" i="4"/>
  <c r="A1078" i="4" s="1"/>
  <c r="F1077" i="4"/>
  <c r="E1077" i="4"/>
  <c r="H1078" i="4" l="1"/>
  <c r="G1078" i="4"/>
  <c r="A1079" i="4" s="1"/>
  <c r="F1078" i="4"/>
  <c r="E1078" i="4"/>
  <c r="D1078" i="4"/>
  <c r="C1078" i="4"/>
  <c r="B1078" i="4"/>
  <c r="C1079" i="4" l="1"/>
  <c r="H1079" i="4"/>
  <c r="G1079" i="4"/>
  <c r="A1080" i="4" s="1"/>
  <c r="F1079" i="4"/>
  <c r="E1079" i="4"/>
  <c r="D1079" i="4"/>
  <c r="B1079" i="4"/>
  <c r="H1080" i="4" l="1"/>
  <c r="E1080" i="4"/>
  <c r="C1080" i="4"/>
  <c r="G1080" i="4"/>
  <c r="A1081" i="4" s="1"/>
  <c r="D1080" i="4"/>
  <c r="B1080" i="4"/>
  <c r="F1080" i="4"/>
  <c r="H1081" i="4" l="1"/>
  <c r="G1081" i="4"/>
  <c r="A1082" i="4" s="1"/>
  <c r="F1081" i="4"/>
  <c r="E1081" i="4"/>
  <c r="D1081" i="4"/>
  <c r="C1081" i="4"/>
  <c r="B1081" i="4"/>
  <c r="C1082" i="4" l="1"/>
  <c r="H1082" i="4"/>
  <c r="G1082" i="4"/>
  <c r="A1083" i="4" s="1"/>
  <c r="F1082" i="4"/>
  <c r="E1082" i="4"/>
  <c r="D1082" i="4"/>
  <c r="B1082" i="4"/>
  <c r="B1083" i="4" l="1"/>
  <c r="H1083" i="4"/>
  <c r="G1083" i="4"/>
  <c r="A1084" i="4" s="1"/>
  <c r="F1083" i="4"/>
  <c r="E1083" i="4"/>
  <c r="D1083" i="4"/>
  <c r="C1083" i="4"/>
  <c r="H1084" i="4" l="1"/>
  <c r="G1084" i="4"/>
  <c r="A1085" i="4" s="1"/>
  <c r="F1084" i="4"/>
  <c r="E1084" i="4"/>
  <c r="D1084" i="4"/>
  <c r="C1084" i="4"/>
  <c r="B1084" i="4"/>
  <c r="C1085" i="4" l="1"/>
  <c r="B1085" i="4"/>
  <c r="H1085" i="4"/>
  <c r="F1085" i="4"/>
  <c r="D1085" i="4"/>
  <c r="G1085" i="4"/>
  <c r="A1086" i="4" s="1"/>
  <c r="E1085" i="4"/>
  <c r="B1086" i="4" l="1"/>
  <c r="H1086" i="4"/>
  <c r="G1086" i="4"/>
  <c r="A1087" i="4" s="1"/>
  <c r="F1086" i="4"/>
  <c r="E1086" i="4"/>
  <c r="D1086" i="4"/>
  <c r="C1086" i="4"/>
  <c r="H1087" i="4" l="1"/>
  <c r="G1087" i="4"/>
  <c r="A1088" i="4" s="1"/>
  <c r="F1087" i="4"/>
  <c r="E1087" i="4"/>
  <c r="D1087" i="4"/>
  <c r="C1087" i="4"/>
  <c r="B1087" i="4"/>
  <c r="C1088" i="4" l="1"/>
  <c r="D1088" i="4"/>
  <c r="B1088" i="4"/>
  <c r="H1088" i="4"/>
  <c r="G1088" i="4"/>
  <c r="A1089" i="4" s="1"/>
  <c r="F1088" i="4"/>
  <c r="E1088" i="4"/>
  <c r="H1089" i="4" l="1"/>
  <c r="F1089" i="4"/>
  <c r="G1089" i="4"/>
  <c r="A1090" i="4" s="1"/>
  <c r="E1089" i="4"/>
  <c r="C1089" i="4"/>
  <c r="B1089" i="4"/>
  <c r="D1089" i="4"/>
  <c r="H1090" i="4" l="1"/>
  <c r="G1090" i="4"/>
  <c r="A1091" i="4" s="1"/>
  <c r="F1090" i="4"/>
  <c r="E1090" i="4"/>
  <c r="C1090" i="4"/>
  <c r="B1090" i="4"/>
  <c r="D1090" i="4"/>
  <c r="C1091" i="4" l="1"/>
  <c r="E1091" i="4"/>
  <c r="D1091" i="4"/>
  <c r="B1091" i="4"/>
  <c r="H1091" i="4"/>
  <c r="G1091" i="4"/>
  <c r="A1092" i="4" s="1"/>
  <c r="F1091" i="4"/>
  <c r="H1092" i="4" l="1"/>
  <c r="G1092" i="4"/>
  <c r="A1093" i="4" s="1"/>
  <c r="F1092" i="4"/>
  <c r="E1092" i="4"/>
  <c r="D1092" i="4"/>
  <c r="C1092" i="4"/>
  <c r="B1092" i="4"/>
  <c r="H1093" i="4" l="1"/>
  <c r="G1093" i="4"/>
  <c r="A1094" i="4" s="1"/>
  <c r="F1093" i="4"/>
  <c r="E1093" i="4"/>
  <c r="D1093" i="4"/>
  <c r="C1093" i="4"/>
  <c r="B1093" i="4"/>
  <c r="C1094" i="4" l="1"/>
  <c r="F1094" i="4"/>
  <c r="E1094" i="4"/>
  <c r="D1094" i="4"/>
  <c r="B1094" i="4"/>
  <c r="H1094" i="4"/>
  <c r="G1094" i="4"/>
  <c r="A1095" i="4" s="1"/>
  <c r="E1095" i="4" l="1"/>
  <c r="F1095" i="4"/>
  <c r="C1095" i="4"/>
  <c r="G1095" i="4"/>
  <c r="A1096" i="4" s="1"/>
  <c r="D1095" i="4"/>
  <c r="B1095" i="4"/>
  <c r="H1095" i="4"/>
  <c r="H1096" i="4" l="1"/>
  <c r="G1096" i="4"/>
  <c r="A1097" i="4" s="1"/>
  <c r="B1096" i="4"/>
  <c r="F1096" i="4"/>
  <c r="E1096" i="4"/>
  <c r="D1096" i="4"/>
  <c r="C1096" i="4"/>
  <c r="C1097" i="4" l="1"/>
  <c r="G1097" i="4"/>
  <c r="A1098" i="4" s="1"/>
  <c r="F1097" i="4"/>
  <c r="E1097" i="4"/>
  <c r="D1097" i="4"/>
  <c r="B1097" i="4"/>
  <c r="H1097" i="4"/>
  <c r="H1098" i="4" l="1"/>
  <c r="G1098" i="4"/>
  <c r="A1099" i="4" s="1"/>
  <c r="F1098" i="4"/>
  <c r="E1098" i="4"/>
  <c r="D1098" i="4"/>
  <c r="C1098" i="4"/>
  <c r="B1098" i="4"/>
  <c r="H1099" i="4" l="1"/>
  <c r="F1099" i="4"/>
  <c r="E1099" i="4"/>
  <c r="C1099" i="4"/>
  <c r="D1099" i="4"/>
  <c r="B1099" i="4"/>
  <c r="G1099" i="4"/>
  <c r="A1100" i="4" s="1"/>
  <c r="C1100" i="4" l="1"/>
  <c r="H1100" i="4"/>
  <c r="G1100" i="4"/>
  <c r="A1101" i="4" s="1"/>
  <c r="F1100" i="4"/>
  <c r="E1100" i="4"/>
  <c r="D1100" i="4"/>
  <c r="B1100" i="4"/>
  <c r="H1101" i="4" l="1"/>
  <c r="G1101" i="4"/>
  <c r="A1102" i="4" s="1"/>
  <c r="F1101" i="4"/>
  <c r="E1101" i="4"/>
  <c r="D1101" i="4"/>
  <c r="C1101" i="4"/>
  <c r="B1101" i="4"/>
  <c r="H1102" i="4" l="1"/>
  <c r="B1102" i="4"/>
  <c r="E1102" i="4"/>
  <c r="F1102" i="4"/>
  <c r="D1102" i="4"/>
  <c r="C1102" i="4"/>
  <c r="G1102" i="4"/>
  <c r="A1103" i="4" s="1"/>
  <c r="C1103" i="4" l="1"/>
  <c r="H1103" i="4"/>
  <c r="G1103" i="4"/>
  <c r="A1104" i="4" s="1"/>
  <c r="F1103" i="4"/>
  <c r="E1103" i="4"/>
  <c r="D1103" i="4"/>
  <c r="B1103" i="4"/>
  <c r="H1104" i="4" l="1"/>
  <c r="F1104" i="4"/>
  <c r="G1104" i="4"/>
  <c r="A1105" i="4" s="1"/>
  <c r="E1104" i="4"/>
  <c r="D1104" i="4"/>
  <c r="C1104" i="4"/>
  <c r="B1104" i="4"/>
  <c r="C1105" i="4" l="1"/>
  <c r="E1105" i="4"/>
  <c r="D1105" i="4"/>
  <c r="B1105" i="4"/>
  <c r="H1105" i="4"/>
  <c r="G1105" i="4"/>
  <c r="A1106" i="4" s="1"/>
  <c r="F1105" i="4"/>
  <c r="C1106" i="4" l="1"/>
  <c r="H1106" i="4"/>
  <c r="G1106" i="4"/>
  <c r="A1107" i="4" s="1"/>
  <c r="F1106" i="4"/>
  <c r="E1106" i="4"/>
  <c r="D1106" i="4"/>
  <c r="B1106" i="4"/>
  <c r="B1107" i="4" l="1"/>
  <c r="H1107" i="4"/>
  <c r="G1107" i="4"/>
  <c r="A1108" i="4" s="1"/>
  <c r="F1107" i="4"/>
  <c r="E1107" i="4"/>
  <c r="C1107" i="4"/>
  <c r="D1107" i="4"/>
  <c r="H1108" i="4" l="1"/>
  <c r="G1108" i="4"/>
  <c r="A1109" i="4" s="1"/>
  <c r="F1108" i="4"/>
  <c r="E1108" i="4"/>
  <c r="D1108" i="4"/>
  <c r="C1108" i="4"/>
  <c r="B1108" i="4"/>
  <c r="C1109" i="4" l="1"/>
  <c r="H1109" i="4"/>
  <c r="G1109" i="4"/>
  <c r="A1110" i="4" s="1"/>
  <c r="F1109" i="4"/>
  <c r="E1109" i="4"/>
  <c r="D1109" i="4"/>
  <c r="B1109" i="4"/>
  <c r="C1110" i="4" l="1"/>
  <c r="B1110" i="4"/>
  <c r="F1110" i="4"/>
  <c r="D1110" i="4"/>
  <c r="H1110" i="4"/>
  <c r="G1110" i="4"/>
  <c r="A1111" i="4" s="1"/>
  <c r="E1110" i="4"/>
  <c r="C1111" i="4" l="1"/>
  <c r="B1111" i="4"/>
  <c r="H1111" i="4"/>
  <c r="G1111" i="4"/>
  <c r="A1112" i="4" s="1"/>
  <c r="E1111" i="4"/>
  <c r="F1111" i="4"/>
  <c r="D1111" i="4"/>
  <c r="C1112" i="4" l="1"/>
  <c r="H1112" i="4"/>
  <c r="G1112" i="4"/>
  <c r="A1113" i="4" s="1"/>
  <c r="F1112" i="4"/>
  <c r="E1112" i="4"/>
  <c r="D1112" i="4"/>
  <c r="B1112" i="4"/>
  <c r="D1113" i="4" l="1"/>
  <c r="C1113" i="4"/>
  <c r="B1113" i="4"/>
  <c r="H1113" i="4"/>
  <c r="G1113" i="4"/>
  <c r="A1114" i="4" s="1"/>
  <c r="F1113" i="4"/>
  <c r="E1113" i="4"/>
  <c r="C1114" i="4" l="1"/>
  <c r="H1114" i="4"/>
  <c r="F1114" i="4"/>
  <c r="D1114" i="4"/>
  <c r="G1114" i="4"/>
  <c r="A1115" i="4" s="1"/>
  <c r="E1114" i="4"/>
  <c r="B1114" i="4"/>
  <c r="C1115" i="4" l="1"/>
  <c r="H1115" i="4"/>
  <c r="G1115" i="4"/>
  <c r="A1116" i="4" s="1"/>
  <c r="F1115" i="4"/>
  <c r="E1115" i="4"/>
  <c r="D1115" i="4"/>
  <c r="B1115" i="4"/>
  <c r="E1116" i="4" l="1"/>
  <c r="D1116" i="4"/>
  <c r="C1116" i="4"/>
  <c r="B1116" i="4"/>
  <c r="H1116" i="4"/>
  <c r="G1116" i="4"/>
  <c r="A1117" i="4" s="1"/>
  <c r="F1116" i="4"/>
  <c r="H1117" i="4" l="1"/>
  <c r="G1117" i="4"/>
  <c r="A1118" i="4" s="1"/>
  <c r="F1117" i="4"/>
  <c r="E1117" i="4"/>
  <c r="D1117" i="4"/>
  <c r="C1117" i="4"/>
  <c r="B1117" i="4"/>
  <c r="C1118" i="4" l="1"/>
  <c r="H1118" i="4"/>
  <c r="G1118" i="4"/>
  <c r="A1119" i="4" s="1"/>
  <c r="E1118" i="4"/>
  <c r="B1118" i="4"/>
  <c r="F1118" i="4"/>
  <c r="D1118" i="4"/>
  <c r="F1119" i="4" l="1"/>
  <c r="E1119" i="4"/>
  <c r="D1119" i="4"/>
  <c r="C1119" i="4"/>
  <c r="B1119" i="4"/>
  <c r="G1119" i="4"/>
  <c r="A1120" i="4" s="1"/>
  <c r="H1119" i="4"/>
  <c r="C1120" i="4" l="1"/>
  <c r="H1120" i="4"/>
  <c r="G1120" i="4"/>
  <c r="A1121" i="4" s="1"/>
  <c r="F1120" i="4"/>
  <c r="D1120" i="4"/>
  <c r="B1120" i="4"/>
  <c r="E1120" i="4"/>
  <c r="C1121" i="4" l="1"/>
  <c r="H1121" i="4"/>
  <c r="G1121" i="4"/>
  <c r="A1122" i="4" s="1"/>
  <c r="F1121" i="4"/>
  <c r="E1121" i="4"/>
  <c r="D1121" i="4"/>
  <c r="B1121" i="4"/>
  <c r="G1122" i="4" l="1"/>
  <c r="A1123" i="4" s="1"/>
  <c r="F1122" i="4"/>
  <c r="E1122" i="4"/>
  <c r="D1122" i="4"/>
  <c r="C1122" i="4"/>
  <c r="B1122" i="4"/>
  <c r="H1122" i="4"/>
  <c r="F1123" i="4" l="1"/>
  <c r="D1123" i="4"/>
  <c r="E1123" i="4"/>
  <c r="H1123" i="4"/>
  <c r="G1123" i="4"/>
  <c r="A1124" i="4" s="1"/>
  <c r="C1123" i="4"/>
  <c r="B1123" i="4"/>
  <c r="C1124" i="4" l="1"/>
  <c r="F1124" i="4"/>
  <c r="D1124" i="4"/>
  <c r="H1124" i="4"/>
  <c r="G1124" i="4"/>
  <c r="A1125" i="4" s="1"/>
  <c r="E1124" i="4"/>
  <c r="B1124" i="4"/>
  <c r="H1125" i="4" l="1"/>
  <c r="G1125" i="4"/>
  <c r="A1126" i="4" s="1"/>
  <c r="F1125" i="4"/>
  <c r="E1125" i="4"/>
  <c r="D1125" i="4"/>
  <c r="C1125" i="4"/>
  <c r="B1125" i="4"/>
  <c r="H1126" i="4" l="1"/>
  <c r="G1126" i="4"/>
  <c r="A1127" i="4" s="1"/>
  <c r="F1126" i="4"/>
  <c r="E1126" i="4"/>
  <c r="D1126" i="4"/>
  <c r="C1126" i="4"/>
  <c r="B1126" i="4"/>
  <c r="C1127" i="4" l="1"/>
  <c r="H1127" i="4"/>
  <c r="F1127" i="4"/>
  <c r="G1127" i="4"/>
  <c r="A1128" i="4" s="1"/>
  <c r="E1127" i="4"/>
  <c r="D1127" i="4"/>
  <c r="B1127" i="4"/>
  <c r="H1128" i="4" l="1"/>
  <c r="G1128" i="4"/>
  <c r="A1129" i="4" s="1"/>
  <c r="F1128" i="4"/>
  <c r="E1128" i="4"/>
  <c r="D1128" i="4"/>
  <c r="C1128" i="4"/>
  <c r="B1128" i="4"/>
  <c r="G1129" i="4" l="1"/>
  <c r="A1130" i="4" s="1"/>
  <c r="E1129" i="4"/>
  <c r="B1129" i="4"/>
  <c r="F1129" i="4"/>
  <c r="C1129" i="4"/>
  <c r="D1129" i="4"/>
  <c r="H1129" i="4"/>
  <c r="C1130" i="4" l="1"/>
  <c r="H1130" i="4"/>
  <c r="G1130" i="4"/>
  <c r="A1131" i="4" s="1"/>
  <c r="F1130" i="4"/>
  <c r="E1130" i="4"/>
  <c r="B1130" i="4"/>
  <c r="D1130" i="4"/>
  <c r="H1131" i="4" l="1"/>
  <c r="G1131" i="4"/>
  <c r="A1132" i="4" s="1"/>
  <c r="F1131" i="4"/>
  <c r="E1131" i="4"/>
  <c r="D1131" i="4"/>
  <c r="C1131" i="4"/>
  <c r="B1131" i="4"/>
  <c r="B1132" i="4" l="1"/>
  <c r="G1132" i="4"/>
  <c r="A1133" i="4" s="1"/>
  <c r="H1132" i="4"/>
  <c r="F1132" i="4"/>
  <c r="E1132" i="4"/>
  <c r="C1132" i="4"/>
  <c r="D1132" i="4"/>
  <c r="C1133" i="4" l="1"/>
  <c r="E1133" i="4"/>
  <c r="H1133" i="4"/>
  <c r="G1133" i="4"/>
  <c r="A1134" i="4" s="1"/>
  <c r="F1133" i="4"/>
  <c r="D1133" i="4"/>
  <c r="B1133" i="4"/>
  <c r="H1134" i="4" l="1"/>
  <c r="G1134" i="4"/>
  <c r="A1135" i="4" s="1"/>
  <c r="F1134" i="4"/>
  <c r="E1134" i="4"/>
  <c r="D1134" i="4"/>
  <c r="C1134" i="4"/>
  <c r="B1134" i="4"/>
  <c r="C1135" i="4" l="1"/>
  <c r="B1135" i="4"/>
  <c r="E1135" i="4"/>
  <c r="D1135" i="4"/>
  <c r="H1135" i="4"/>
  <c r="G1135" i="4"/>
  <c r="A1136" i="4" s="1"/>
  <c r="F1135" i="4"/>
  <c r="C1136" i="4" l="1"/>
  <c r="F1136" i="4"/>
  <c r="E1136" i="4"/>
  <c r="D1136" i="4"/>
  <c r="B1136" i="4"/>
  <c r="H1136" i="4"/>
  <c r="G1136" i="4"/>
  <c r="A1137" i="4" s="1"/>
  <c r="H1137" i="4" l="1"/>
  <c r="G1137" i="4"/>
  <c r="A1138" i="4" s="1"/>
  <c r="F1137" i="4"/>
  <c r="E1137" i="4"/>
  <c r="C1137" i="4"/>
  <c r="D1137" i="4"/>
  <c r="B1137" i="4"/>
  <c r="D1138" i="4" l="1"/>
  <c r="C1138" i="4"/>
  <c r="B1138" i="4"/>
  <c r="H1138" i="4"/>
  <c r="G1138" i="4"/>
  <c r="A1139" i="4" s="1"/>
  <c r="F1138" i="4"/>
  <c r="E1138" i="4"/>
  <c r="C1139" i="4" l="1"/>
  <c r="G1139" i="4"/>
  <c r="A1140" i="4" s="1"/>
  <c r="E1139" i="4"/>
  <c r="H1139" i="4"/>
  <c r="F1139" i="4"/>
  <c r="D1139" i="4"/>
  <c r="B1139" i="4"/>
  <c r="H1140" i="4" l="1"/>
  <c r="G1140" i="4"/>
  <c r="A1141" i="4" s="1"/>
  <c r="F1140" i="4"/>
  <c r="E1140" i="4"/>
  <c r="D1140" i="4"/>
  <c r="C1140" i="4"/>
  <c r="B1140" i="4"/>
  <c r="E1141" i="4" l="1"/>
  <c r="D1141" i="4"/>
  <c r="C1141" i="4"/>
  <c r="B1141" i="4"/>
  <c r="G1141" i="4"/>
  <c r="A1142" i="4" s="1"/>
  <c r="H1141" i="4"/>
  <c r="F1141" i="4"/>
  <c r="C1142" i="4" l="1"/>
  <c r="E1142" i="4"/>
  <c r="B1142" i="4"/>
  <c r="H1142" i="4"/>
  <c r="G1142" i="4"/>
  <c r="A1143" i="4" s="1"/>
  <c r="F1142" i="4"/>
  <c r="D1142" i="4"/>
  <c r="H1143" i="4" l="1"/>
  <c r="G1143" i="4"/>
  <c r="A1144" i="4" s="1"/>
  <c r="D1143" i="4"/>
  <c r="F1143" i="4"/>
  <c r="E1143" i="4"/>
  <c r="C1143" i="4"/>
  <c r="B1143" i="4"/>
  <c r="F1144" i="4" l="1"/>
  <c r="E1144" i="4"/>
  <c r="D1144" i="4"/>
  <c r="C1144" i="4"/>
  <c r="B1144" i="4"/>
  <c r="H1144" i="4"/>
  <c r="G1144" i="4"/>
  <c r="A1145" i="4" s="1"/>
  <c r="C1145" i="4" l="1"/>
  <c r="E1145" i="4"/>
  <c r="B1145" i="4"/>
  <c r="H1145" i="4"/>
  <c r="G1145" i="4"/>
  <c r="A1146" i="4" s="1"/>
  <c r="F1145" i="4"/>
  <c r="D1145" i="4"/>
  <c r="H1146" i="4" l="1"/>
  <c r="F1146" i="4"/>
  <c r="D1146" i="4"/>
  <c r="G1146" i="4"/>
  <c r="A1147" i="4" s="1"/>
  <c r="E1146" i="4"/>
  <c r="C1146" i="4"/>
  <c r="B1146" i="4"/>
  <c r="G1147" i="4" l="1"/>
  <c r="A1148" i="4" s="1"/>
  <c r="F1147" i="4"/>
  <c r="E1147" i="4"/>
  <c r="D1147" i="4"/>
  <c r="C1147" i="4"/>
  <c r="B1147" i="4"/>
  <c r="H1147" i="4"/>
  <c r="C1148" i="4" l="1"/>
  <c r="H1148" i="4"/>
  <c r="G1148" i="4"/>
  <c r="A1149" i="4" s="1"/>
  <c r="E1148" i="4"/>
  <c r="D1148" i="4"/>
  <c r="B1148" i="4"/>
  <c r="F1148" i="4"/>
  <c r="H1149" i="4" l="1"/>
  <c r="F1149" i="4"/>
  <c r="D1149" i="4"/>
  <c r="G1149" i="4"/>
  <c r="A1150" i="4" s="1"/>
  <c r="E1149" i="4"/>
  <c r="C1149" i="4"/>
  <c r="B1149" i="4"/>
  <c r="H1150" i="4" l="1"/>
  <c r="G1150" i="4"/>
  <c r="A1151" i="4" s="1"/>
  <c r="F1150" i="4"/>
  <c r="E1150" i="4"/>
  <c r="D1150" i="4"/>
  <c r="C1150" i="4"/>
  <c r="B1150" i="4"/>
  <c r="C1151" i="4" l="1"/>
  <c r="H1151" i="4"/>
  <c r="F1151" i="4"/>
  <c r="G1151" i="4"/>
  <c r="A1152" i="4" s="1"/>
  <c r="E1151" i="4"/>
  <c r="D1151" i="4"/>
  <c r="B1151" i="4"/>
  <c r="G1152" i="4" l="1"/>
  <c r="A1153" i="4" s="1"/>
  <c r="F1152" i="4"/>
  <c r="E1152" i="4"/>
  <c r="D1152" i="4"/>
  <c r="C1152" i="4"/>
  <c r="B1152" i="4"/>
  <c r="H1152" i="4"/>
  <c r="H1153" i="4" l="1"/>
  <c r="G1153" i="4"/>
  <c r="A1154" i="4" s="1"/>
  <c r="F1153" i="4"/>
  <c r="E1153" i="4"/>
  <c r="D1153" i="4"/>
  <c r="C1153" i="4"/>
  <c r="B1153" i="4"/>
  <c r="C1154" i="4" l="1"/>
  <c r="H1154" i="4"/>
  <c r="D1154" i="4"/>
  <c r="G1154" i="4"/>
  <c r="A1155" i="4" s="1"/>
  <c r="F1154" i="4"/>
  <c r="E1154" i="4"/>
  <c r="B1154" i="4"/>
  <c r="G1155" i="4" l="1"/>
  <c r="A1156" i="4" s="1"/>
  <c r="D1155" i="4"/>
  <c r="B1155" i="4"/>
  <c r="C1155" i="4"/>
  <c r="H1155" i="4"/>
  <c r="F1155" i="4"/>
  <c r="E1155" i="4"/>
  <c r="H1156" i="4" l="1"/>
  <c r="G1156" i="4"/>
  <c r="A1157" i="4" s="1"/>
  <c r="F1156" i="4"/>
  <c r="E1156" i="4"/>
  <c r="D1156" i="4"/>
  <c r="C1156" i="4"/>
  <c r="B1156" i="4"/>
  <c r="C1157" i="4" l="1"/>
  <c r="B1157" i="4"/>
  <c r="H1157" i="4"/>
  <c r="G1157" i="4"/>
  <c r="A1158" i="4" s="1"/>
  <c r="F1157" i="4"/>
  <c r="E1157" i="4"/>
  <c r="D1157" i="4"/>
  <c r="G1158" i="4" l="1"/>
  <c r="A1159" i="4" s="1"/>
  <c r="H1158" i="4"/>
  <c r="F1158" i="4"/>
  <c r="E1158" i="4"/>
  <c r="D1158" i="4"/>
  <c r="C1158" i="4"/>
  <c r="B1158" i="4"/>
  <c r="H1159" i="4" l="1"/>
  <c r="G1159" i="4"/>
  <c r="A1160" i="4" s="1"/>
  <c r="F1159" i="4"/>
  <c r="E1159" i="4"/>
  <c r="D1159" i="4"/>
  <c r="C1159" i="4"/>
  <c r="B1159" i="4"/>
  <c r="C1160" i="4" l="1"/>
  <c r="D1160" i="4"/>
  <c r="B1160" i="4"/>
  <c r="H1160" i="4"/>
  <c r="F1160" i="4"/>
  <c r="G1160" i="4"/>
  <c r="A1161" i="4" s="1"/>
  <c r="E1160" i="4"/>
  <c r="C1161" i="4" l="1"/>
  <c r="H1161" i="4"/>
  <c r="G1161" i="4"/>
  <c r="A1162" i="4" s="1"/>
  <c r="F1161" i="4"/>
  <c r="E1161" i="4"/>
  <c r="B1161" i="4"/>
  <c r="D1161" i="4"/>
  <c r="H1162" i="4" l="1"/>
  <c r="G1162" i="4"/>
  <c r="A1163" i="4" s="1"/>
  <c r="F1162" i="4"/>
  <c r="E1162" i="4"/>
  <c r="D1162" i="4"/>
  <c r="C1162" i="4"/>
  <c r="B1162" i="4"/>
  <c r="C1163" i="4" l="1"/>
  <c r="E1163" i="4"/>
  <c r="D1163" i="4"/>
  <c r="B1163" i="4"/>
  <c r="H1163" i="4"/>
  <c r="G1163" i="4"/>
  <c r="A1164" i="4" s="1"/>
  <c r="F1163" i="4"/>
  <c r="G1164" i="4" l="1"/>
  <c r="A1165" i="4" s="1"/>
  <c r="C1164" i="4"/>
  <c r="H1164" i="4"/>
  <c r="F1164" i="4"/>
  <c r="E1164" i="4"/>
  <c r="D1164" i="4"/>
  <c r="B1164" i="4"/>
  <c r="H1165" i="4" l="1"/>
  <c r="G1165" i="4"/>
  <c r="A1166" i="4" s="1"/>
  <c r="F1165" i="4"/>
  <c r="D1165" i="4"/>
  <c r="B1165" i="4"/>
  <c r="E1165" i="4"/>
  <c r="C1165" i="4"/>
  <c r="C1166" i="4" l="1"/>
  <c r="F1166" i="4"/>
  <c r="E1166" i="4"/>
  <c r="D1166" i="4"/>
  <c r="B1166" i="4"/>
  <c r="G1166" i="4"/>
  <c r="A1167" i="4" s="1"/>
  <c r="H1166" i="4"/>
  <c r="H1167" i="4" l="1"/>
  <c r="C1167" i="4"/>
  <c r="D1167" i="4"/>
  <c r="B1167" i="4"/>
  <c r="G1167" i="4"/>
  <c r="A1168" i="4" s="1"/>
  <c r="E1167" i="4"/>
  <c r="F1167" i="4"/>
  <c r="H1168" i="4" l="1"/>
  <c r="G1168" i="4"/>
  <c r="A1169" i="4" s="1"/>
  <c r="F1168" i="4"/>
  <c r="E1168" i="4"/>
  <c r="D1168" i="4"/>
  <c r="C1168" i="4"/>
  <c r="B1168" i="4"/>
  <c r="C1169" i="4" l="1"/>
  <c r="G1169" i="4"/>
  <c r="A1170" i="4" s="1"/>
  <c r="F1169" i="4"/>
  <c r="E1169" i="4"/>
  <c r="D1169" i="4"/>
  <c r="B1169" i="4"/>
  <c r="H1169" i="4"/>
  <c r="F1170" i="4" l="1"/>
  <c r="D1170" i="4"/>
  <c r="G1170" i="4"/>
  <c r="A1171" i="4" s="1"/>
  <c r="C1170" i="4"/>
  <c r="H1170" i="4"/>
  <c r="E1170" i="4"/>
  <c r="B1170" i="4"/>
  <c r="H1171" i="4" l="1"/>
  <c r="E1171" i="4"/>
  <c r="D1171" i="4"/>
  <c r="C1171" i="4"/>
  <c r="B1171" i="4"/>
  <c r="G1171" i="4"/>
  <c r="A1172" i="4" s="1"/>
  <c r="F1171" i="4"/>
  <c r="C1172" i="4" l="1"/>
  <c r="H1172" i="4"/>
  <c r="G1172" i="4"/>
  <c r="A1173" i="4" s="1"/>
  <c r="F1172" i="4"/>
  <c r="E1172" i="4"/>
  <c r="D1172" i="4"/>
  <c r="B1172" i="4"/>
  <c r="F1173" i="4" l="1"/>
  <c r="E1173" i="4"/>
  <c r="D1173" i="4"/>
  <c r="C1173" i="4"/>
  <c r="B1173" i="4"/>
  <c r="H1173" i="4"/>
  <c r="G1173" i="4"/>
  <c r="A1174" i="4" s="1"/>
  <c r="G1174" i="4" l="1"/>
  <c r="A1175" i="4" s="1"/>
  <c r="E1174" i="4"/>
  <c r="H1174" i="4"/>
  <c r="B1174" i="4"/>
  <c r="D1174" i="4"/>
  <c r="C1174" i="4"/>
  <c r="F1174" i="4"/>
  <c r="C1175" i="4" l="1"/>
  <c r="H1175" i="4"/>
  <c r="G1175" i="4"/>
  <c r="A1176" i="4" s="1"/>
  <c r="F1175" i="4"/>
  <c r="E1175" i="4"/>
  <c r="D1175" i="4"/>
  <c r="B1175" i="4"/>
  <c r="E1176" i="4" l="1"/>
  <c r="C1176" i="4"/>
  <c r="H1176" i="4"/>
  <c r="G1176" i="4"/>
  <c r="A1177" i="4" s="1"/>
  <c r="F1176" i="4"/>
  <c r="D1176" i="4"/>
  <c r="B1176" i="4"/>
  <c r="E1177" i="4" l="1"/>
  <c r="D1177" i="4"/>
  <c r="C1177" i="4"/>
  <c r="B1177" i="4"/>
  <c r="H1177" i="4"/>
  <c r="G1177" i="4"/>
  <c r="A1178" i="4" s="1"/>
  <c r="F1177" i="4"/>
  <c r="C1178" i="4" l="1"/>
  <c r="H1178" i="4"/>
  <c r="G1178" i="4"/>
  <c r="A1179" i="4" s="1"/>
  <c r="F1178" i="4"/>
  <c r="E1178" i="4"/>
  <c r="D1178" i="4"/>
  <c r="B1178" i="4"/>
  <c r="B1179" i="4" l="1"/>
  <c r="G1179" i="4"/>
  <c r="A1180" i="4" s="1"/>
  <c r="F1179" i="4"/>
  <c r="H1179" i="4"/>
  <c r="E1179" i="4"/>
  <c r="D1179" i="4"/>
  <c r="C1179" i="4"/>
  <c r="H1180" i="4" l="1"/>
  <c r="F1180" i="4"/>
  <c r="D1180" i="4"/>
  <c r="G1180" i="4"/>
  <c r="A1181" i="4" s="1"/>
  <c r="E1180" i="4"/>
  <c r="C1180" i="4"/>
  <c r="B1180" i="4"/>
  <c r="C1181" i="4" l="1"/>
  <c r="H1181" i="4"/>
  <c r="G1181" i="4"/>
  <c r="A1182" i="4" s="1"/>
  <c r="F1181" i="4"/>
  <c r="E1181" i="4"/>
  <c r="D1181" i="4"/>
  <c r="B1181" i="4"/>
  <c r="C1182" i="4" l="1"/>
  <c r="B1182" i="4"/>
  <c r="H1182" i="4"/>
  <c r="G1182" i="4"/>
  <c r="A1183" i="4" s="1"/>
  <c r="F1182" i="4"/>
  <c r="E1182" i="4"/>
  <c r="D1182" i="4"/>
  <c r="H1183" i="4" l="1"/>
  <c r="E1183" i="4"/>
  <c r="D1183" i="4"/>
  <c r="C1183" i="4"/>
  <c r="B1183" i="4"/>
  <c r="G1183" i="4"/>
  <c r="A1184" i="4" s="1"/>
  <c r="F1183" i="4"/>
  <c r="C1184" i="4" l="1"/>
  <c r="H1184" i="4"/>
  <c r="G1184" i="4"/>
  <c r="A1185" i="4" s="1"/>
  <c r="F1184" i="4"/>
  <c r="E1184" i="4"/>
  <c r="B1184" i="4"/>
  <c r="D1184" i="4"/>
  <c r="D1185" i="4" l="1"/>
  <c r="C1185" i="4"/>
  <c r="B1185" i="4"/>
  <c r="H1185" i="4"/>
  <c r="F1185" i="4"/>
  <c r="E1185" i="4"/>
  <c r="G1185" i="4"/>
  <c r="A1186" i="4" s="1"/>
  <c r="D1186" i="4" l="1"/>
  <c r="B1186" i="4"/>
  <c r="H1186" i="4"/>
  <c r="G1186" i="4"/>
  <c r="A1187" i="4" s="1"/>
  <c r="F1186" i="4"/>
  <c r="E1186" i="4"/>
  <c r="C1186" i="4"/>
  <c r="C1187" i="4" l="1"/>
  <c r="H1187" i="4"/>
  <c r="G1187" i="4"/>
  <c r="A1188" i="4" s="1"/>
  <c r="F1187" i="4"/>
  <c r="E1187" i="4"/>
  <c r="D1187" i="4"/>
  <c r="B1187" i="4"/>
  <c r="E1188" i="4" l="1"/>
  <c r="D1188" i="4"/>
  <c r="C1188" i="4"/>
  <c r="B1188" i="4"/>
  <c r="H1188" i="4"/>
  <c r="G1188" i="4"/>
  <c r="A1189" i="4" s="1"/>
  <c r="F1188" i="4"/>
  <c r="D1189" i="4" l="1"/>
  <c r="B1189" i="4"/>
  <c r="G1189" i="4"/>
  <c r="A1190" i="4" s="1"/>
  <c r="H1189" i="4"/>
  <c r="F1189" i="4"/>
  <c r="E1189" i="4"/>
  <c r="C1189" i="4"/>
  <c r="C1190" i="4" l="1"/>
  <c r="H1190" i="4"/>
  <c r="G1190" i="4"/>
  <c r="A1191" i="4" s="1"/>
  <c r="F1190" i="4"/>
  <c r="D1190" i="4"/>
  <c r="E1190" i="4"/>
  <c r="B1190" i="4"/>
  <c r="F1191" i="4" l="1"/>
  <c r="E1191" i="4"/>
  <c r="D1191" i="4"/>
  <c r="C1191" i="4"/>
  <c r="B1191" i="4"/>
  <c r="H1191" i="4"/>
  <c r="G1191" i="4"/>
  <c r="A1192" i="4" s="1"/>
  <c r="D1192" i="4" l="1"/>
  <c r="C1192" i="4"/>
  <c r="B1192" i="4"/>
  <c r="E1192" i="4"/>
  <c r="F1192" i="4"/>
  <c r="H1192" i="4"/>
  <c r="G1192" i="4"/>
  <c r="A1193" i="4" s="1"/>
  <c r="C1193" i="4" l="1"/>
  <c r="H1193" i="4"/>
  <c r="F1193" i="4"/>
  <c r="D1193" i="4"/>
  <c r="G1193" i="4"/>
  <c r="A1194" i="4" s="1"/>
  <c r="E1193" i="4"/>
  <c r="B1193" i="4"/>
  <c r="G1194" i="4" l="1"/>
  <c r="A1195" i="4" s="1"/>
  <c r="F1194" i="4"/>
  <c r="E1194" i="4"/>
  <c r="D1194" i="4"/>
  <c r="C1194" i="4"/>
  <c r="B1194" i="4"/>
  <c r="H1194" i="4"/>
  <c r="G1195" i="4" l="1"/>
  <c r="A1196" i="4" s="1"/>
  <c r="C1195" i="4"/>
  <c r="H1195" i="4"/>
  <c r="F1195" i="4"/>
  <c r="E1195" i="4"/>
  <c r="D1195" i="4"/>
  <c r="B1195" i="4"/>
  <c r="C1196" i="4" l="1"/>
  <c r="D1196" i="4"/>
  <c r="B1196" i="4"/>
  <c r="H1196" i="4"/>
  <c r="G1196" i="4"/>
  <c r="A1197" i="4" s="1"/>
  <c r="F1196" i="4"/>
  <c r="E1196" i="4"/>
  <c r="H1197" i="4" l="1"/>
  <c r="G1197" i="4"/>
  <c r="A1198" i="4" s="1"/>
  <c r="F1197" i="4"/>
  <c r="E1197" i="4"/>
  <c r="D1197" i="4"/>
  <c r="C1197" i="4"/>
  <c r="B1197" i="4"/>
  <c r="G1198" i="4" l="1"/>
  <c r="A1199" i="4" s="1"/>
  <c r="E1198" i="4"/>
  <c r="H1198" i="4"/>
  <c r="F1198" i="4"/>
  <c r="D1198" i="4"/>
  <c r="C1198" i="4"/>
  <c r="B1198" i="4"/>
  <c r="C1199" i="4" l="1"/>
  <c r="G1199" i="4"/>
  <c r="A1200" i="4" s="1"/>
  <c r="H1199" i="4"/>
  <c r="F1199" i="4"/>
  <c r="E1199" i="4"/>
  <c r="D1199" i="4"/>
  <c r="B1199" i="4"/>
  <c r="H1200" i="4" l="1"/>
  <c r="G1200" i="4"/>
  <c r="A1201" i="4" s="1"/>
  <c r="F1200" i="4"/>
  <c r="E1200" i="4"/>
  <c r="D1200" i="4"/>
  <c r="C1200" i="4"/>
  <c r="B1200" i="4"/>
  <c r="G1201" i="4" l="1"/>
  <c r="A1202" i="4" s="1"/>
  <c r="E1201" i="4"/>
  <c r="C1201" i="4"/>
  <c r="H1201" i="4"/>
  <c r="F1201" i="4"/>
  <c r="D1201" i="4"/>
  <c r="B1201" i="4"/>
  <c r="C1202" i="4" l="1"/>
  <c r="G1202" i="4"/>
  <c r="A1203" i="4" s="1"/>
  <c r="D1202" i="4"/>
  <c r="B1202" i="4"/>
  <c r="H1202" i="4"/>
  <c r="F1202" i="4"/>
  <c r="E1202" i="4"/>
  <c r="H1203" i="4" l="1"/>
  <c r="G1203" i="4"/>
  <c r="A1204" i="4" s="1"/>
  <c r="F1203" i="4"/>
  <c r="E1203" i="4"/>
  <c r="D1203" i="4"/>
  <c r="C1203" i="4"/>
  <c r="B1203" i="4"/>
  <c r="B1204" i="4" l="1"/>
  <c r="F1204" i="4"/>
  <c r="E1204" i="4"/>
  <c r="C1204" i="4"/>
  <c r="D1204" i="4"/>
  <c r="H1204" i="4"/>
  <c r="G1204" i="4"/>
  <c r="A1205" i="4" s="1"/>
  <c r="C1205" i="4" l="1"/>
  <c r="G1205" i="4"/>
  <c r="A1206" i="4" s="1"/>
  <c r="B1205" i="4"/>
  <c r="H1205" i="4"/>
  <c r="F1205" i="4"/>
  <c r="E1205" i="4"/>
  <c r="D1205" i="4"/>
  <c r="H1206" i="4" l="1"/>
  <c r="G1206" i="4"/>
  <c r="A1207" i="4" s="1"/>
  <c r="F1206" i="4"/>
  <c r="E1206" i="4"/>
  <c r="D1206" i="4"/>
  <c r="C1206" i="4"/>
  <c r="B1206" i="4"/>
  <c r="C1207" i="4" l="1"/>
  <c r="B1207" i="4"/>
  <c r="H1207" i="4"/>
  <c r="G1207" i="4"/>
  <c r="A1208" i="4" s="1"/>
  <c r="F1207" i="4"/>
  <c r="E1207" i="4"/>
  <c r="D1207" i="4"/>
  <c r="C1208" i="4" l="1"/>
  <c r="B1208" i="4"/>
  <c r="F1208" i="4"/>
  <c r="E1208" i="4"/>
  <c r="D1208" i="4"/>
  <c r="H1208" i="4"/>
  <c r="G1208" i="4"/>
  <c r="A1209" i="4" s="1"/>
  <c r="H1209" i="4" l="1"/>
  <c r="G1209" i="4"/>
  <c r="A1210" i="4" s="1"/>
  <c r="F1209" i="4"/>
  <c r="E1209" i="4"/>
  <c r="D1209" i="4"/>
  <c r="C1209" i="4"/>
  <c r="B1209" i="4"/>
  <c r="D1210" i="4" l="1"/>
  <c r="C1210" i="4"/>
  <c r="B1210" i="4"/>
  <c r="F1210" i="4"/>
  <c r="G1210" i="4"/>
  <c r="A1211" i="4" s="1"/>
  <c r="E1210" i="4"/>
  <c r="H1210" i="4"/>
  <c r="C1211" i="4" l="1"/>
  <c r="G1211" i="4"/>
  <c r="A1212" i="4" s="1"/>
  <c r="E1211" i="4"/>
  <c r="B1211" i="4"/>
  <c r="F1211" i="4"/>
  <c r="D1211" i="4"/>
  <c r="H1211" i="4"/>
  <c r="H1212" i="4" l="1"/>
  <c r="G1212" i="4"/>
  <c r="A1213" i="4" s="1"/>
  <c r="F1212" i="4"/>
  <c r="D1212" i="4"/>
  <c r="B1212" i="4"/>
  <c r="E1212" i="4"/>
  <c r="C1212" i="4"/>
  <c r="E1213" i="4" l="1"/>
  <c r="D1213" i="4"/>
  <c r="C1213" i="4"/>
  <c r="B1213" i="4"/>
  <c r="H1213" i="4"/>
  <c r="G1213" i="4"/>
  <c r="A1214" i="4" s="1"/>
  <c r="F1213" i="4"/>
  <c r="C1214" i="4" l="1"/>
  <c r="F1214" i="4"/>
  <c r="E1214" i="4"/>
  <c r="D1214" i="4"/>
  <c r="B1214" i="4"/>
  <c r="H1214" i="4"/>
  <c r="G1214" i="4"/>
  <c r="A1215" i="4" s="1"/>
  <c r="H1215" i="4" l="1"/>
  <c r="G1215" i="4"/>
  <c r="A1216" i="4" s="1"/>
  <c r="F1215" i="4"/>
  <c r="B1215" i="4"/>
  <c r="D1215" i="4"/>
  <c r="C1215" i="4"/>
  <c r="E1215" i="4"/>
  <c r="F1216" i="4" l="1"/>
  <c r="E1216" i="4"/>
  <c r="D1216" i="4"/>
  <c r="C1216" i="4"/>
  <c r="B1216" i="4"/>
  <c r="H1216" i="4"/>
  <c r="G1216" i="4"/>
  <c r="A1217" i="4" s="1"/>
  <c r="C1217" i="4" l="1"/>
  <c r="F1217" i="4"/>
  <c r="D1217" i="4"/>
  <c r="B1217" i="4"/>
  <c r="H1217" i="4"/>
  <c r="G1217" i="4"/>
  <c r="A1218" i="4" s="1"/>
  <c r="E1217" i="4"/>
  <c r="H1218" i="4" l="1"/>
  <c r="G1218" i="4"/>
  <c r="A1219" i="4" s="1"/>
  <c r="F1218" i="4"/>
  <c r="E1218" i="4"/>
  <c r="D1218" i="4"/>
  <c r="C1218" i="4"/>
  <c r="B1218" i="4"/>
  <c r="G1219" i="4" l="1"/>
  <c r="A1220" i="4" s="1"/>
  <c r="F1219" i="4"/>
  <c r="E1219" i="4"/>
  <c r="D1219" i="4"/>
  <c r="C1219" i="4"/>
  <c r="B1219" i="4"/>
  <c r="H1219" i="4"/>
  <c r="C1220" i="4" l="1"/>
  <c r="F1220" i="4"/>
  <c r="G1220" i="4"/>
  <c r="A1221" i="4" s="1"/>
  <c r="E1220" i="4"/>
  <c r="D1220" i="4"/>
  <c r="B1220" i="4"/>
  <c r="H1220" i="4"/>
  <c r="G1221" i="4" l="1"/>
  <c r="A1222" i="4" s="1"/>
  <c r="E1221" i="4"/>
  <c r="H1221" i="4"/>
  <c r="D1221" i="4"/>
  <c r="B1221" i="4"/>
  <c r="F1221" i="4"/>
  <c r="C1221" i="4"/>
  <c r="H1222" i="4" l="1"/>
  <c r="G1222" i="4"/>
  <c r="A1223" i="4" s="1"/>
  <c r="F1222" i="4"/>
  <c r="E1222" i="4"/>
  <c r="D1222" i="4"/>
  <c r="C1222" i="4"/>
  <c r="B1222" i="4"/>
  <c r="C1223" i="4" l="1"/>
  <c r="E1223" i="4"/>
  <c r="D1223" i="4"/>
  <c r="B1223" i="4"/>
  <c r="H1223" i="4"/>
  <c r="F1223" i="4"/>
  <c r="G1223" i="4"/>
  <c r="A1224" i="4" s="1"/>
  <c r="H1224" i="4" l="1"/>
  <c r="G1224" i="4"/>
  <c r="A1225" i="4" s="1"/>
  <c r="F1224" i="4"/>
  <c r="E1224" i="4"/>
  <c r="B1224" i="4"/>
  <c r="C1224" i="4"/>
  <c r="D1224" i="4"/>
  <c r="H1225" i="4" l="1"/>
  <c r="G1225" i="4"/>
  <c r="A1226" i="4" s="1"/>
  <c r="F1225" i="4"/>
  <c r="E1225" i="4"/>
  <c r="D1225" i="4"/>
  <c r="C1225" i="4"/>
  <c r="B1225" i="4"/>
  <c r="D1226" i="4" l="1"/>
  <c r="B1226" i="4"/>
  <c r="H1226" i="4"/>
  <c r="G1226" i="4"/>
  <c r="A1227" i="4" s="1"/>
  <c r="F1226" i="4"/>
  <c r="E1226" i="4"/>
  <c r="C1226" i="4"/>
  <c r="B1227" i="4" l="1"/>
  <c r="E1227" i="4"/>
  <c r="C1227" i="4"/>
  <c r="D1227" i="4"/>
  <c r="H1227" i="4"/>
  <c r="G1227" i="4"/>
  <c r="A1228" i="4" s="1"/>
  <c r="F1227" i="4"/>
  <c r="H1228" i="4" l="1"/>
  <c r="G1228" i="4"/>
  <c r="A1229" i="4" s="1"/>
  <c r="F1228" i="4"/>
  <c r="E1228" i="4"/>
  <c r="D1228" i="4"/>
  <c r="C1228" i="4"/>
  <c r="B1228" i="4"/>
  <c r="E1229" i="4" l="1"/>
  <c r="D1229" i="4"/>
  <c r="C1229" i="4"/>
  <c r="B1229" i="4"/>
  <c r="G1229" i="4"/>
  <c r="A1230" i="4" s="1"/>
  <c r="F1229" i="4"/>
  <c r="H1229" i="4"/>
  <c r="G1230" i="4" l="1"/>
  <c r="A1231" i="4" s="1"/>
  <c r="H1230" i="4"/>
  <c r="F1230" i="4"/>
  <c r="D1230" i="4"/>
  <c r="C1230" i="4"/>
  <c r="B1230" i="4"/>
  <c r="E1230" i="4"/>
  <c r="H1231" i="4" l="1"/>
  <c r="G1231" i="4"/>
  <c r="A1232" i="4" s="1"/>
  <c r="E1231" i="4"/>
  <c r="C1231" i="4"/>
  <c r="F1231" i="4"/>
  <c r="D1231" i="4"/>
  <c r="B1231" i="4"/>
  <c r="F1232" i="4" l="1"/>
  <c r="G1232" i="4"/>
  <c r="A1233" i="4" s="1"/>
  <c r="E1232" i="4"/>
  <c r="D1232" i="4"/>
  <c r="C1232" i="4"/>
  <c r="B1232" i="4"/>
  <c r="H1232" i="4"/>
  <c r="C1233" i="4" l="1"/>
  <c r="G1233" i="4"/>
  <c r="A1234" i="4" s="1"/>
  <c r="F1233" i="4"/>
  <c r="E1233" i="4"/>
  <c r="D1233" i="4"/>
  <c r="B1233" i="4"/>
  <c r="H1233" i="4"/>
  <c r="H1234" i="4" l="1"/>
  <c r="G1234" i="4"/>
  <c r="A1235" i="4" s="1"/>
  <c r="F1234" i="4"/>
  <c r="B1234" i="4"/>
  <c r="E1234" i="4"/>
  <c r="D1234" i="4"/>
  <c r="C1234" i="4"/>
  <c r="G1235" i="4" l="1"/>
  <c r="A1236" i="4" s="1"/>
  <c r="H1235" i="4"/>
  <c r="F1235" i="4"/>
  <c r="E1235" i="4"/>
  <c r="D1235" i="4"/>
  <c r="C1235" i="4"/>
  <c r="B1235" i="4"/>
  <c r="H1236" i="4" l="1"/>
  <c r="F1236" i="4"/>
  <c r="E1236" i="4"/>
  <c r="G1236" i="4"/>
  <c r="A1237" i="4" s="1"/>
  <c r="D1236" i="4"/>
  <c r="C1236" i="4"/>
  <c r="B1236" i="4"/>
  <c r="H1237" i="4" l="1"/>
  <c r="F1237" i="4"/>
  <c r="D1237" i="4"/>
  <c r="G1237" i="4"/>
  <c r="A1238" i="4" s="1"/>
  <c r="E1237" i="4"/>
  <c r="C1237" i="4"/>
  <c r="B1237" i="4"/>
  <c r="H1238" i="4" l="1"/>
  <c r="G1238" i="4"/>
  <c r="A1239" i="4" s="1"/>
  <c r="F1238" i="4"/>
  <c r="E1238" i="4"/>
  <c r="D1238" i="4"/>
  <c r="C1238" i="4"/>
  <c r="B1238" i="4"/>
  <c r="C1239" i="4" l="1"/>
  <c r="B1239" i="4"/>
  <c r="H1239" i="4"/>
  <c r="G1239" i="4"/>
  <c r="A1240" i="4" s="1"/>
  <c r="F1239" i="4"/>
  <c r="E1239" i="4"/>
  <c r="D1239" i="4"/>
  <c r="B1240" i="4" l="1"/>
  <c r="H1240" i="4"/>
  <c r="F1240" i="4"/>
  <c r="E1240" i="4"/>
  <c r="D1240" i="4"/>
  <c r="G1240" i="4"/>
  <c r="A1241" i="4" s="1"/>
  <c r="C1240" i="4"/>
  <c r="H1241" i="4" l="1"/>
  <c r="G1241" i="4"/>
  <c r="A1242" i="4" s="1"/>
  <c r="F1241" i="4"/>
  <c r="E1241" i="4"/>
  <c r="C1241" i="4"/>
  <c r="D1241" i="4"/>
  <c r="B1241" i="4"/>
  <c r="E1242" i="4" l="1"/>
  <c r="D1242" i="4"/>
  <c r="C1242" i="4"/>
  <c r="B1242" i="4"/>
  <c r="H1242" i="4"/>
  <c r="G1242" i="4"/>
  <c r="A1243" i="4" s="1"/>
  <c r="F1242" i="4"/>
  <c r="F1243" i="4" l="1"/>
  <c r="D1243" i="4"/>
  <c r="B1243" i="4"/>
  <c r="G1243" i="4"/>
  <c r="A1244" i="4" s="1"/>
  <c r="E1243" i="4"/>
  <c r="C1243" i="4"/>
  <c r="H1243" i="4"/>
  <c r="H1244" i="4" l="1"/>
  <c r="G1244" i="4"/>
  <c r="A1245" i="4" s="1"/>
  <c r="F1244" i="4"/>
  <c r="E1244" i="4"/>
  <c r="D1244" i="4"/>
  <c r="C1244" i="4"/>
  <c r="B1244" i="4"/>
  <c r="B1245" i="4" l="1"/>
  <c r="G1245" i="4"/>
  <c r="A1246" i="4" s="1"/>
  <c r="F1245" i="4"/>
  <c r="E1245" i="4"/>
  <c r="D1245" i="4"/>
  <c r="C1245" i="4"/>
  <c r="H1245" i="4"/>
  <c r="G1246" i="4" l="1"/>
  <c r="A1247" i="4" s="1"/>
  <c r="E1246" i="4"/>
  <c r="D1246" i="4"/>
  <c r="C1246" i="4"/>
  <c r="B1246" i="4"/>
  <c r="H1246" i="4"/>
  <c r="F1246" i="4"/>
  <c r="H1247" i="4" l="1"/>
  <c r="F1247" i="4"/>
  <c r="B1247" i="4"/>
  <c r="G1247" i="4"/>
  <c r="A1248" i="4" s="1"/>
  <c r="E1247" i="4"/>
  <c r="D1247" i="4"/>
  <c r="C1247" i="4"/>
  <c r="C1248" i="4" l="1"/>
  <c r="H1248" i="4"/>
  <c r="G1248" i="4"/>
  <c r="A1249" i="4" s="1"/>
  <c r="F1248" i="4"/>
  <c r="E1248" i="4"/>
  <c r="D1248" i="4"/>
  <c r="B1248" i="4"/>
  <c r="B1249" i="4" l="1"/>
  <c r="D1249" i="4"/>
  <c r="C1249" i="4"/>
  <c r="H1249" i="4"/>
  <c r="G1249" i="4"/>
  <c r="A1250" i="4" s="1"/>
  <c r="F1249" i="4"/>
  <c r="E1249" i="4"/>
  <c r="G1250" i="4" l="1"/>
  <c r="A1251" i="4" s="1"/>
  <c r="H1250" i="4"/>
  <c r="F1250" i="4"/>
  <c r="E1250" i="4"/>
  <c r="D1250" i="4"/>
  <c r="C1250" i="4"/>
  <c r="B1250" i="4"/>
  <c r="D1251" i="4" l="1"/>
  <c r="H1251" i="4"/>
  <c r="G1251" i="4"/>
  <c r="A1252" i="4" s="1"/>
  <c r="F1251" i="4"/>
  <c r="E1251" i="4"/>
  <c r="C1251" i="4"/>
  <c r="B1251" i="4"/>
  <c r="D1252" i="4" l="1"/>
  <c r="C1252" i="4"/>
  <c r="B1252" i="4"/>
  <c r="H1252" i="4"/>
  <c r="G1252" i="4"/>
  <c r="A1253" i="4" s="1"/>
  <c r="F1252" i="4"/>
  <c r="E1252" i="4"/>
  <c r="H1253" i="4" l="1"/>
  <c r="F1253" i="4"/>
  <c r="D1253" i="4"/>
  <c r="E1253" i="4"/>
  <c r="G1253" i="4"/>
  <c r="A1254" i="4" s="1"/>
  <c r="B1253" i="4"/>
  <c r="C1253" i="4"/>
  <c r="E1254" i="4" l="1"/>
  <c r="H1254" i="4"/>
  <c r="G1254" i="4"/>
  <c r="A1255" i="4" s="1"/>
  <c r="F1254" i="4"/>
  <c r="D1254" i="4"/>
  <c r="C1254" i="4"/>
  <c r="B1254" i="4"/>
  <c r="F1255" i="4" l="1"/>
  <c r="E1255" i="4"/>
  <c r="D1255" i="4"/>
  <c r="C1255" i="4"/>
  <c r="B1255" i="4"/>
  <c r="H1255" i="4"/>
  <c r="G1255" i="4"/>
  <c r="A1256" i="4" s="1"/>
  <c r="E1256" i="4" l="1"/>
  <c r="C1256" i="4"/>
  <c r="H1256" i="4"/>
  <c r="G1256" i="4"/>
  <c r="A1257" i="4" s="1"/>
  <c r="F1256" i="4"/>
  <c r="D1256" i="4"/>
  <c r="B1256" i="4"/>
  <c r="F1257" i="4" l="1"/>
  <c r="H1257" i="4"/>
  <c r="D1257" i="4"/>
  <c r="G1257" i="4"/>
  <c r="A1258" i="4" s="1"/>
  <c r="E1257" i="4"/>
  <c r="C1257" i="4"/>
  <c r="B1257" i="4"/>
  <c r="H1258" i="4" l="1"/>
  <c r="G1258" i="4"/>
  <c r="A1259" i="4" s="1"/>
  <c r="F1258" i="4"/>
  <c r="E1258" i="4"/>
  <c r="D1258" i="4"/>
  <c r="C1258" i="4"/>
  <c r="B1258" i="4"/>
  <c r="F1259" i="4" l="1"/>
  <c r="D1259" i="4"/>
  <c r="B1259" i="4"/>
  <c r="E1259" i="4"/>
  <c r="C1259" i="4"/>
  <c r="H1259" i="4"/>
  <c r="G1259" i="4"/>
  <c r="A1260" i="4" s="1"/>
  <c r="G1260" i="4" l="1"/>
  <c r="A1261" i="4" s="1"/>
  <c r="H1260" i="4"/>
  <c r="E1260" i="4"/>
  <c r="F1260" i="4"/>
  <c r="C1260" i="4"/>
  <c r="B1260" i="4"/>
  <c r="D1260" i="4"/>
  <c r="H1261" i="4" l="1"/>
  <c r="G1261" i="4"/>
  <c r="A1262" i="4" s="1"/>
  <c r="F1261" i="4"/>
  <c r="E1261" i="4"/>
  <c r="D1261" i="4"/>
  <c r="C1261" i="4"/>
  <c r="B1261" i="4"/>
  <c r="B1262" i="4" l="1"/>
  <c r="H1262" i="4"/>
  <c r="F1262" i="4"/>
  <c r="E1262" i="4"/>
  <c r="D1262" i="4"/>
  <c r="G1262" i="4"/>
  <c r="A1263" i="4" s="1"/>
  <c r="C1262" i="4"/>
  <c r="H1263" i="4" l="1"/>
  <c r="F1263" i="4"/>
  <c r="B1263" i="4"/>
  <c r="G1263" i="4"/>
  <c r="A1264" i="4" s="1"/>
  <c r="E1263" i="4"/>
  <c r="D1263" i="4"/>
  <c r="C1263" i="4"/>
  <c r="H1264" i="4" l="1"/>
  <c r="G1264" i="4"/>
  <c r="A1265" i="4" s="1"/>
  <c r="F1264" i="4"/>
  <c r="E1264" i="4"/>
  <c r="D1264" i="4"/>
  <c r="B1264" i="4"/>
  <c r="C1264" i="4"/>
  <c r="D1265" i="4" l="1"/>
  <c r="C1265" i="4"/>
  <c r="B1265" i="4"/>
  <c r="H1265" i="4"/>
  <c r="G1265" i="4"/>
  <c r="A1266" i="4" s="1"/>
  <c r="F1265" i="4"/>
  <c r="E1265" i="4"/>
  <c r="C1266" i="4" l="1"/>
  <c r="H1266" i="4"/>
  <c r="G1266" i="4"/>
  <c r="A1267" i="4" s="1"/>
  <c r="F1266" i="4"/>
  <c r="E1266" i="4"/>
  <c r="D1266" i="4"/>
  <c r="B1266" i="4"/>
  <c r="B1267" i="4" l="1"/>
  <c r="H1267" i="4"/>
  <c r="G1267" i="4"/>
  <c r="A1268" i="4" s="1"/>
  <c r="D1267" i="4"/>
  <c r="C1267" i="4"/>
  <c r="F1267" i="4"/>
  <c r="E1267" i="4"/>
  <c r="F1268" i="4" l="1"/>
  <c r="E1268" i="4"/>
  <c r="D1268" i="4"/>
  <c r="C1268" i="4"/>
  <c r="B1268" i="4"/>
  <c r="H1268" i="4"/>
  <c r="G1268" i="4"/>
  <c r="A1269" i="4" s="1"/>
  <c r="H1269" i="4" l="1"/>
  <c r="F1269" i="4"/>
  <c r="D1269" i="4"/>
  <c r="G1269" i="4"/>
  <c r="A1270" i="4" s="1"/>
  <c r="E1269" i="4"/>
  <c r="C1269" i="4"/>
  <c r="B1269" i="4"/>
  <c r="C1270" i="4" l="1"/>
  <c r="G1270" i="4"/>
  <c r="A1271" i="4" s="1"/>
  <c r="E1270" i="4"/>
  <c r="H1270" i="4"/>
  <c r="F1270" i="4"/>
  <c r="D1270" i="4"/>
  <c r="B1270" i="4"/>
  <c r="H1271" i="4" l="1"/>
  <c r="G1271" i="4"/>
  <c r="A1272" i="4" s="1"/>
  <c r="F1271" i="4"/>
  <c r="E1271" i="4"/>
  <c r="D1271" i="4"/>
  <c r="C1271" i="4"/>
  <c r="B1271" i="4"/>
  <c r="E1272" i="4" l="1"/>
  <c r="D1272" i="4"/>
  <c r="C1272" i="4"/>
  <c r="B1272" i="4"/>
  <c r="H1272" i="4"/>
  <c r="G1272" i="4"/>
  <c r="A1273" i="4" s="1"/>
  <c r="F1272" i="4"/>
  <c r="E1273" i="4" l="1"/>
  <c r="G1273" i="4"/>
  <c r="A1274" i="4" s="1"/>
  <c r="H1273" i="4"/>
  <c r="F1273" i="4"/>
  <c r="C1273" i="4"/>
  <c r="B1273" i="4"/>
  <c r="D1273" i="4"/>
  <c r="H1274" i="4" l="1"/>
  <c r="G1274" i="4"/>
  <c r="A1275" i="4" s="1"/>
  <c r="F1274" i="4"/>
  <c r="E1274" i="4"/>
  <c r="D1274" i="4"/>
  <c r="C1274" i="4"/>
  <c r="B1274" i="4"/>
  <c r="E1275" i="4" l="1"/>
  <c r="C1275" i="4"/>
  <c r="B1275" i="4"/>
  <c r="H1275" i="4"/>
  <c r="F1275" i="4"/>
  <c r="G1275" i="4"/>
  <c r="A1276" i="4" s="1"/>
  <c r="D1275" i="4"/>
  <c r="G1276" i="4" l="1"/>
  <c r="A1277" i="4" s="1"/>
  <c r="D1276" i="4"/>
  <c r="B1276" i="4"/>
  <c r="H1276" i="4"/>
  <c r="F1276" i="4"/>
  <c r="E1276" i="4"/>
  <c r="C1276" i="4"/>
  <c r="H1277" i="4" l="1"/>
  <c r="G1277" i="4"/>
  <c r="A1278" i="4" s="1"/>
  <c r="F1277" i="4"/>
  <c r="E1277" i="4"/>
  <c r="D1277" i="4"/>
  <c r="C1277" i="4"/>
  <c r="B1277" i="4"/>
  <c r="E1278" i="4" l="1"/>
  <c r="G1278" i="4"/>
  <c r="A1279" i="4" s="1"/>
  <c r="F1278" i="4"/>
  <c r="D1278" i="4"/>
  <c r="C1278" i="4"/>
  <c r="B1278" i="4"/>
  <c r="H1278" i="4"/>
  <c r="F1279" i="4" l="1"/>
  <c r="B1279" i="4"/>
  <c r="C1279" i="4"/>
  <c r="E1279" i="4"/>
  <c r="G1279" i="4"/>
  <c r="A1280" i="4" s="1"/>
  <c r="H1279" i="4"/>
  <c r="D1279" i="4"/>
  <c r="H1280" i="4" l="1"/>
  <c r="F1280" i="4"/>
  <c r="E1280" i="4"/>
  <c r="C1280" i="4"/>
  <c r="G1280" i="4"/>
  <c r="A1281" i="4" s="1"/>
  <c r="D1280" i="4"/>
  <c r="B1280" i="4"/>
  <c r="E1281" i="4" l="1"/>
  <c r="H1281" i="4"/>
  <c r="G1281" i="4"/>
  <c r="A1282" i="4" s="1"/>
  <c r="F1281" i="4"/>
  <c r="D1281" i="4"/>
  <c r="C1281" i="4"/>
  <c r="B1281" i="4"/>
  <c r="C1282" i="4" l="1"/>
  <c r="B1282" i="4"/>
  <c r="G1282" i="4"/>
  <c r="A1283" i="4" s="1"/>
  <c r="F1282" i="4"/>
  <c r="E1282" i="4"/>
  <c r="H1282" i="4"/>
  <c r="D1282" i="4"/>
  <c r="C1283" i="4" l="1"/>
  <c r="H1283" i="4"/>
  <c r="G1283" i="4"/>
  <c r="A1284" i="4" s="1"/>
  <c r="F1283" i="4"/>
  <c r="E1283" i="4"/>
  <c r="D1283" i="4"/>
  <c r="B1283" i="4"/>
  <c r="E1284" i="4" l="1"/>
  <c r="H1284" i="4"/>
  <c r="G1284" i="4"/>
  <c r="A1285" i="4" s="1"/>
  <c r="F1284" i="4"/>
  <c r="D1284" i="4"/>
  <c r="C1284" i="4"/>
  <c r="B1284" i="4"/>
  <c r="F1285" i="4" l="1"/>
  <c r="E1285" i="4"/>
  <c r="D1285" i="4"/>
  <c r="C1285" i="4"/>
  <c r="B1285" i="4"/>
  <c r="G1285" i="4"/>
  <c r="A1286" i="4" s="1"/>
  <c r="H1285" i="4"/>
  <c r="E1286" i="4" l="1"/>
  <c r="D1286" i="4"/>
  <c r="G1286" i="4"/>
  <c r="A1287" i="4" s="1"/>
  <c r="C1286" i="4"/>
  <c r="H1286" i="4"/>
  <c r="B1286" i="4"/>
  <c r="F1286" i="4"/>
  <c r="E1287" i="4" l="1"/>
  <c r="B1287" i="4"/>
  <c r="G1287" i="4"/>
  <c r="A1288" i="4" s="1"/>
  <c r="F1287" i="4"/>
  <c r="D1287" i="4"/>
  <c r="C1287" i="4"/>
  <c r="H1287" i="4"/>
  <c r="H1288" i="4" l="1"/>
  <c r="G1288" i="4"/>
  <c r="A1289" i="4" s="1"/>
  <c r="F1288" i="4"/>
  <c r="E1288" i="4"/>
  <c r="D1288" i="4"/>
  <c r="C1288" i="4"/>
  <c r="B1288" i="4"/>
  <c r="G1289" i="4" l="1"/>
  <c r="A1290" i="4" s="1"/>
  <c r="F1289" i="4"/>
  <c r="B1289" i="4"/>
  <c r="E1289" i="4"/>
  <c r="D1289" i="4"/>
  <c r="C1289" i="4"/>
  <c r="H1289" i="4"/>
  <c r="E1290" i="4" l="1"/>
  <c r="G1290" i="4"/>
  <c r="A1291" i="4" s="1"/>
  <c r="H1290" i="4"/>
  <c r="F1290" i="4"/>
  <c r="D1290" i="4"/>
  <c r="C1290" i="4"/>
  <c r="B1290" i="4"/>
  <c r="H1291" i="4" l="1"/>
  <c r="G1291" i="4"/>
  <c r="A1292" i="4" s="1"/>
  <c r="E1291" i="4"/>
  <c r="C1291" i="4"/>
  <c r="F1291" i="4"/>
  <c r="D1291" i="4"/>
  <c r="B1291" i="4"/>
  <c r="H1292" i="4" l="1"/>
  <c r="F1292" i="4"/>
  <c r="E1292" i="4"/>
  <c r="D1292" i="4"/>
  <c r="C1292" i="4"/>
  <c r="B1292" i="4"/>
  <c r="G1292" i="4"/>
  <c r="A1293" i="4" s="1"/>
  <c r="E1293" i="4" l="1"/>
  <c r="D1293" i="4"/>
  <c r="B1293" i="4"/>
  <c r="C1293" i="4"/>
  <c r="F1293" i="4"/>
  <c r="H1293" i="4"/>
  <c r="G1293" i="4"/>
  <c r="A1294" i="4" s="1"/>
  <c r="H1294" i="4" l="1"/>
  <c r="G1294" i="4"/>
  <c r="A1295" i="4" s="1"/>
  <c r="C1294" i="4"/>
  <c r="D1294" i="4"/>
  <c r="B1294" i="4"/>
  <c r="E1294" i="4"/>
  <c r="F1294" i="4"/>
  <c r="H1295" i="4" l="1"/>
  <c r="G1295" i="4"/>
  <c r="A1296" i="4" s="1"/>
  <c r="F1295" i="4"/>
  <c r="E1295" i="4"/>
  <c r="D1295" i="4"/>
  <c r="C1295" i="4"/>
  <c r="B1295" i="4"/>
  <c r="E1296" i="4" l="1"/>
  <c r="C1296" i="4"/>
  <c r="B1296" i="4"/>
  <c r="D1296" i="4"/>
  <c r="H1296" i="4"/>
  <c r="G1296" i="4"/>
  <c r="A1297" i="4" s="1"/>
  <c r="F1296" i="4"/>
  <c r="E1297" i="4" l="1"/>
  <c r="C1297" i="4"/>
  <c r="H1297" i="4"/>
  <c r="G1297" i="4"/>
  <c r="A1298" i="4" s="1"/>
  <c r="F1297" i="4"/>
  <c r="D1297" i="4"/>
  <c r="B1297" i="4"/>
  <c r="H1298" i="4" l="1"/>
  <c r="G1298" i="4"/>
  <c r="A1299" i="4" s="1"/>
  <c r="D1298" i="4"/>
  <c r="B1298" i="4"/>
  <c r="F1298" i="4"/>
  <c r="E1298" i="4"/>
  <c r="C1298" i="4"/>
  <c r="E1299" i="4" l="1"/>
  <c r="F1299" i="4"/>
  <c r="D1299" i="4"/>
  <c r="H1299" i="4"/>
  <c r="G1299" i="4"/>
  <c r="A1300" i="4" s="1"/>
  <c r="C1299" i="4"/>
  <c r="B1299" i="4"/>
  <c r="B1300" i="4" l="1"/>
  <c r="H1300" i="4"/>
  <c r="G1300" i="4"/>
  <c r="A1301" i="4" s="1"/>
  <c r="F1300" i="4"/>
  <c r="E1300" i="4"/>
  <c r="D1300" i="4"/>
  <c r="C1300" i="4"/>
  <c r="G1301" i="4" l="1"/>
  <c r="A1302" i="4" s="1"/>
  <c r="H1301" i="4"/>
  <c r="F1301" i="4"/>
  <c r="B1301" i="4"/>
  <c r="E1301" i="4"/>
  <c r="D1301" i="4"/>
  <c r="C1301" i="4"/>
  <c r="E1302" i="4" l="1"/>
  <c r="H1302" i="4"/>
  <c r="G1302" i="4"/>
  <c r="A1303" i="4" s="1"/>
  <c r="F1302" i="4"/>
  <c r="D1302" i="4"/>
  <c r="C1302" i="4"/>
  <c r="B1302" i="4"/>
  <c r="F1303" i="4" l="1"/>
  <c r="E1303" i="4"/>
  <c r="D1303" i="4"/>
  <c r="C1303" i="4"/>
  <c r="B1303" i="4"/>
  <c r="H1303" i="4"/>
  <c r="G1303" i="4"/>
  <c r="A1304" i="4" s="1"/>
  <c r="F1304" i="4" l="1"/>
  <c r="D1304" i="4"/>
  <c r="C1304" i="4"/>
  <c r="B1304" i="4"/>
  <c r="H1304" i="4"/>
  <c r="G1304" i="4"/>
  <c r="A1305" i="4" s="1"/>
  <c r="E1304" i="4"/>
  <c r="E1305" i="4" l="1"/>
  <c r="H1305" i="4"/>
  <c r="G1305" i="4"/>
  <c r="A1306" i="4" s="1"/>
  <c r="F1305" i="4"/>
  <c r="C1305" i="4"/>
  <c r="B1305" i="4"/>
  <c r="D1305" i="4"/>
  <c r="C1306" i="4" l="1"/>
  <c r="B1306" i="4"/>
  <c r="H1306" i="4"/>
  <c r="G1306" i="4"/>
  <c r="A1307" i="4" s="1"/>
  <c r="F1306" i="4"/>
  <c r="E1306" i="4"/>
  <c r="D1306" i="4"/>
  <c r="B1307" i="4" l="1"/>
  <c r="G1307" i="4"/>
  <c r="A1308" i="4" s="1"/>
  <c r="H1307" i="4"/>
  <c r="F1307" i="4"/>
  <c r="E1307" i="4"/>
  <c r="D1307" i="4"/>
  <c r="C1307" i="4"/>
  <c r="E1308" i="4" l="1"/>
  <c r="H1308" i="4"/>
  <c r="G1308" i="4"/>
  <c r="A1309" i="4" s="1"/>
  <c r="F1308" i="4"/>
  <c r="D1308" i="4"/>
  <c r="C1308" i="4"/>
  <c r="B1308" i="4"/>
  <c r="E1309" i="4" l="1"/>
  <c r="D1309" i="4"/>
  <c r="H1309" i="4"/>
  <c r="G1309" i="4"/>
  <c r="A1310" i="4" s="1"/>
  <c r="F1309" i="4"/>
  <c r="C1309" i="4"/>
  <c r="B1309" i="4"/>
  <c r="F1310" i="4" l="1"/>
  <c r="E1310" i="4"/>
  <c r="D1310" i="4"/>
  <c r="C1310" i="4"/>
  <c r="B1310" i="4"/>
  <c r="H1310" i="4"/>
  <c r="G1310" i="4"/>
  <c r="A1311" i="4" s="1"/>
  <c r="E1311" i="4" l="1"/>
  <c r="H1311" i="4"/>
  <c r="G1311" i="4"/>
  <c r="A1312" i="4" s="1"/>
  <c r="F1311" i="4"/>
  <c r="D1311" i="4"/>
  <c r="C1311" i="4"/>
  <c r="B1311" i="4"/>
  <c r="G1312" i="4" l="1"/>
  <c r="A1313" i="4" s="1"/>
  <c r="F1312" i="4"/>
  <c r="E1312" i="4"/>
  <c r="B1312" i="4"/>
  <c r="H1312" i="4"/>
  <c r="D1312" i="4"/>
  <c r="C1312" i="4"/>
  <c r="H1313" i="4" l="1"/>
  <c r="G1313" i="4"/>
  <c r="A1314" i="4" s="1"/>
  <c r="F1313" i="4"/>
  <c r="E1313" i="4"/>
  <c r="D1313" i="4"/>
  <c r="C1313" i="4"/>
  <c r="B1313" i="4"/>
  <c r="E1314" i="4" l="1"/>
  <c r="B1314" i="4"/>
  <c r="H1314" i="4"/>
  <c r="G1314" i="4"/>
  <c r="A1315" i="4" s="1"/>
  <c r="F1314" i="4"/>
  <c r="D1314" i="4"/>
  <c r="C1314" i="4"/>
  <c r="H1315" i="4" l="1"/>
  <c r="F1315" i="4"/>
  <c r="E1315" i="4"/>
  <c r="D1315" i="4"/>
  <c r="C1315" i="4"/>
  <c r="B1315" i="4"/>
  <c r="G1315" i="4"/>
  <c r="A1316" i="4" s="1"/>
  <c r="H1316" i="4" l="1"/>
  <c r="G1316" i="4"/>
  <c r="A1317" i="4" s="1"/>
  <c r="B1316" i="4"/>
  <c r="F1316" i="4"/>
  <c r="E1316" i="4"/>
  <c r="D1316" i="4"/>
  <c r="C1316" i="4"/>
  <c r="E1317" i="4" l="1"/>
  <c r="G1317" i="4"/>
  <c r="A1318" i="4" s="1"/>
  <c r="F1317" i="4"/>
  <c r="D1317" i="4"/>
  <c r="C1317" i="4"/>
  <c r="B1317" i="4"/>
  <c r="H1317" i="4"/>
  <c r="G1318" i="4" l="1"/>
  <c r="A1319" i="4" s="1"/>
  <c r="E1318" i="4"/>
  <c r="D1318" i="4"/>
  <c r="C1318" i="4"/>
  <c r="B1318" i="4"/>
  <c r="H1318" i="4"/>
  <c r="F1318" i="4"/>
  <c r="C1319" i="4" l="1"/>
  <c r="B1319" i="4"/>
  <c r="H1319" i="4"/>
  <c r="F1319" i="4"/>
  <c r="D1319" i="4"/>
  <c r="G1319" i="4"/>
  <c r="A1320" i="4" s="1"/>
  <c r="E1319" i="4"/>
  <c r="E1320" i="4" l="1"/>
  <c r="H1320" i="4"/>
  <c r="G1320" i="4"/>
  <c r="A1321" i="4" s="1"/>
  <c r="F1320" i="4"/>
  <c r="D1320" i="4"/>
  <c r="C1320" i="4"/>
  <c r="B1320" i="4"/>
  <c r="D1321" i="4" l="1"/>
  <c r="C1321" i="4"/>
  <c r="B1321" i="4"/>
  <c r="H1321" i="4"/>
  <c r="G1321" i="4"/>
  <c r="A1322" i="4" s="1"/>
  <c r="F1321" i="4"/>
  <c r="E1321" i="4"/>
  <c r="E1322" i="4" l="1"/>
  <c r="D1322" i="4"/>
  <c r="B1322" i="4"/>
  <c r="H1322" i="4"/>
  <c r="G1322" i="4"/>
  <c r="A1323" i="4" s="1"/>
  <c r="F1322" i="4"/>
  <c r="C1322" i="4"/>
  <c r="E1323" i="4" l="1"/>
  <c r="H1323" i="4"/>
  <c r="F1323" i="4"/>
  <c r="C1323" i="4"/>
  <c r="G1323" i="4"/>
  <c r="A1324" i="4" s="1"/>
  <c r="D1323" i="4"/>
  <c r="B1323" i="4"/>
  <c r="H1324" i="4" l="1"/>
  <c r="G1324" i="4"/>
  <c r="A1325" i="4" s="1"/>
  <c r="F1324" i="4"/>
  <c r="E1324" i="4"/>
  <c r="D1324" i="4"/>
  <c r="C1324" i="4"/>
  <c r="B1324" i="4"/>
  <c r="G1325" i="4" l="1"/>
  <c r="A1326" i="4" s="1"/>
  <c r="F1325" i="4"/>
  <c r="H1325" i="4"/>
  <c r="E1325" i="4"/>
  <c r="D1325" i="4"/>
  <c r="C1325" i="4"/>
  <c r="B1325" i="4"/>
  <c r="E1326" i="4" l="1"/>
  <c r="H1326" i="4"/>
  <c r="G1326" i="4"/>
  <c r="A1327" i="4" s="1"/>
  <c r="F1326" i="4"/>
  <c r="D1326" i="4"/>
  <c r="C1326" i="4"/>
  <c r="B1326" i="4"/>
  <c r="H1327" i="4" l="1"/>
  <c r="G1327" i="4"/>
  <c r="A1328" i="4" s="1"/>
  <c r="F1327" i="4"/>
  <c r="E1327" i="4"/>
  <c r="D1327" i="4"/>
  <c r="B1327" i="4"/>
  <c r="C1327" i="4"/>
  <c r="H1328" i="4" l="1"/>
  <c r="F1328" i="4"/>
  <c r="D1328" i="4"/>
  <c r="C1328" i="4"/>
  <c r="B1328" i="4"/>
  <c r="G1328" i="4"/>
  <c r="A1329" i="4" s="1"/>
  <c r="E1328" i="4"/>
  <c r="E1329" i="4" l="1"/>
  <c r="G1329" i="4"/>
  <c r="A1330" i="4" s="1"/>
  <c r="D1329" i="4"/>
  <c r="F1329" i="4"/>
  <c r="C1329" i="4"/>
  <c r="B1329" i="4"/>
  <c r="H1329" i="4"/>
  <c r="C1330" i="4" l="1"/>
  <c r="B1330" i="4"/>
  <c r="G1330" i="4"/>
  <c r="A1331" i="4" s="1"/>
  <c r="F1330" i="4"/>
  <c r="H1330" i="4"/>
  <c r="E1330" i="4"/>
  <c r="D1330" i="4"/>
  <c r="H1331" i="4" l="1"/>
  <c r="G1331" i="4"/>
  <c r="A1332" i="4" s="1"/>
  <c r="F1331" i="4"/>
  <c r="E1331" i="4"/>
  <c r="D1331" i="4"/>
  <c r="C1331" i="4"/>
  <c r="B1331" i="4"/>
  <c r="E1332" i="4" l="1"/>
  <c r="C1332" i="4"/>
  <c r="B1332" i="4"/>
  <c r="D1332" i="4"/>
  <c r="H1332" i="4"/>
  <c r="G1332" i="4"/>
  <c r="A1333" i="4" s="1"/>
  <c r="F1332" i="4"/>
  <c r="H1333" i="4" l="1"/>
  <c r="F1333" i="4"/>
  <c r="E1333" i="4"/>
  <c r="D1333" i="4"/>
  <c r="C1333" i="4"/>
  <c r="B1333" i="4"/>
  <c r="G1333" i="4"/>
  <c r="A1334" i="4" s="1"/>
  <c r="H1334" i="4" l="1"/>
  <c r="G1334" i="4"/>
  <c r="A1335" i="4" s="1"/>
  <c r="E1334" i="4"/>
  <c r="C1334" i="4"/>
  <c r="F1334" i="4"/>
  <c r="D1334" i="4"/>
  <c r="B1334" i="4"/>
  <c r="E1335" i="4" l="1"/>
  <c r="F1335" i="4"/>
  <c r="D1335" i="4"/>
  <c r="B1335" i="4"/>
  <c r="H1335" i="4"/>
  <c r="G1335" i="4"/>
  <c r="A1336" i="4" s="1"/>
  <c r="C1335" i="4"/>
  <c r="C1336" i="4" l="1"/>
  <c r="B1336" i="4"/>
  <c r="G1336" i="4"/>
  <c r="A1337" i="4" s="1"/>
  <c r="F1336" i="4"/>
  <c r="E1336" i="4"/>
  <c r="D1336" i="4"/>
  <c r="H1336" i="4"/>
  <c r="H1337" i="4" l="1"/>
  <c r="G1337" i="4"/>
  <c r="A1338" i="4" s="1"/>
  <c r="F1337" i="4"/>
  <c r="E1337" i="4"/>
  <c r="D1337" i="4"/>
  <c r="C1337" i="4"/>
  <c r="B1337" i="4"/>
  <c r="E1338" i="4" l="1"/>
  <c r="H1338" i="4"/>
  <c r="G1338" i="4"/>
  <c r="A1339" i="4" s="1"/>
  <c r="D1338" i="4"/>
  <c r="F1338" i="4"/>
  <c r="C1338" i="4"/>
  <c r="B1338" i="4"/>
  <c r="H1339" i="4" l="1"/>
  <c r="G1339" i="4"/>
  <c r="A1340" i="4" s="1"/>
  <c r="F1339" i="4"/>
  <c r="E1339" i="4"/>
  <c r="D1339" i="4"/>
  <c r="C1339" i="4"/>
  <c r="B1339" i="4"/>
  <c r="G1340" i="4" l="1"/>
  <c r="A1341" i="4" s="1"/>
  <c r="E1340" i="4"/>
  <c r="D1340" i="4"/>
  <c r="B1340" i="4"/>
  <c r="C1340" i="4"/>
  <c r="H1340" i="4"/>
  <c r="F1340" i="4"/>
  <c r="E1341" i="4" l="1"/>
  <c r="G1341" i="4"/>
  <c r="A1342" i="4" s="1"/>
  <c r="H1341" i="4"/>
  <c r="F1341" i="4"/>
  <c r="D1341" i="4"/>
  <c r="B1341" i="4"/>
  <c r="C1341" i="4"/>
  <c r="C1342" i="4" l="1"/>
  <c r="B1342" i="4"/>
  <c r="H1342" i="4"/>
  <c r="G1342" i="4"/>
  <c r="A1343" i="4" s="1"/>
  <c r="F1342" i="4"/>
  <c r="E1342" i="4"/>
  <c r="D1342" i="4"/>
  <c r="E1343" i="4" l="1"/>
  <c r="D1343" i="4"/>
  <c r="C1343" i="4"/>
  <c r="B1343" i="4"/>
  <c r="H1343" i="4"/>
  <c r="G1343" i="4"/>
  <c r="A1344" i="4" s="1"/>
  <c r="F1343" i="4"/>
  <c r="E1344" i="4" l="1"/>
  <c r="H1344" i="4"/>
  <c r="G1344" i="4"/>
  <c r="A1345" i="4" s="1"/>
  <c r="F1344" i="4"/>
  <c r="D1344" i="4"/>
  <c r="C1344" i="4"/>
  <c r="B1344" i="4"/>
  <c r="E1345" i="4" l="1"/>
  <c r="D1345" i="4"/>
  <c r="B1345" i="4"/>
  <c r="G1345" i="4"/>
  <c r="A1346" i="4" s="1"/>
  <c r="F1345" i="4"/>
  <c r="C1345" i="4"/>
  <c r="H1345" i="4"/>
  <c r="H1346" i="4" l="1"/>
  <c r="G1346" i="4"/>
  <c r="A1347" i="4" s="1"/>
  <c r="F1346" i="4"/>
  <c r="E1346" i="4"/>
  <c r="D1346" i="4"/>
  <c r="C1346" i="4"/>
  <c r="B1346" i="4"/>
  <c r="E1347" i="4" l="1"/>
  <c r="B1347" i="4"/>
  <c r="H1347" i="4"/>
  <c r="G1347" i="4"/>
  <c r="A1348" i="4" s="1"/>
  <c r="F1347" i="4"/>
  <c r="D1347" i="4"/>
  <c r="C1347" i="4"/>
  <c r="G1348" i="4" l="1"/>
  <c r="A1349" i="4" s="1"/>
  <c r="F1348" i="4"/>
  <c r="D1348" i="4"/>
  <c r="C1348" i="4"/>
  <c r="H1348" i="4"/>
  <c r="E1348" i="4"/>
  <c r="B1348" i="4"/>
  <c r="H1349" i="4" l="1"/>
  <c r="G1349" i="4"/>
  <c r="A1350" i="4" s="1"/>
  <c r="F1349" i="4"/>
  <c r="E1349" i="4"/>
  <c r="D1349" i="4"/>
  <c r="C1349" i="4"/>
  <c r="B1349" i="4"/>
  <c r="E1350" i="4" l="1"/>
  <c r="H1350" i="4"/>
  <c r="G1350" i="4"/>
  <c r="A1351" i="4" s="1"/>
  <c r="F1350" i="4"/>
  <c r="D1350" i="4"/>
  <c r="C1350" i="4"/>
  <c r="B1350" i="4"/>
  <c r="H1351" i="4" l="1"/>
  <c r="F1351" i="4"/>
  <c r="E1351" i="4"/>
  <c r="B1351" i="4"/>
  <c r="G1351" i="4"/>
  <c r="A1352" i="4" s="1"/>
  <c r="D1351" i="4"/>
  <c r="C1351" i="4"/>
  <c r="E1352" i="4" l="1"/>
  <c r="C1352" i="4"/>
  <c r="H1352" i="4"/>
  <c r="F1352" i="4"/>
  <c r="D1352" i="4"/>
  <c r="B1352" i="4"/>
  <c r="G1352" i="4"/>
  <c r="A1353" i="4" s="1"/>
  <c r="E1353" i="4" l="1"/>
  <c r="H1353" i="4"/>
  <c r="G1353" i="4"/>
  <c r="A1354" i="4" s="1"/>
  <c r="F1353" i="4"/>
  <c r="D1353" i="4"/>
  <c r="C1353" i="4"/>
  <c r="B1353" i="4"/>
  <c r="H1354" i="4" l="1"/>
  <c r="G1354" i="4"/>
  <c r="A1355" i="4" s="1"/>
  <c r="F1354" i="4"/>
  <c r="E1354" i="4"/>
  <c r="D1354" i="4"/>
  <c r="C1354" i="4"/>
  <c r="B1354" i="4"/>
  <c r="C1355" i="4" l="1"/>
  <c r="B1355" i="4"/>
  <c r="D1355" i="4"/>
  <c r="F1355" i="4"/>
  <c r="E1355" i="4"/>
  <c r="H1355" i="4"/>
  <c r="G1355" i="4"/>
  <c r="A1356" i="4" s="1"/>
  <c r="E1356" i="4" l="1"/>
  <c r="H1356" i="4"/>
  <c r="G1356" i="4"/>
  <c r="A1357" i="4" s="1"/>
  <c r="F1356" i="4"/>
  <c r="D1356" i="4"/>
  <c r="C1356" i="4"/>
  <c r="B1356" i="4"/>
  <c r="H1357" i="4" l="1"/>
  <c r="G1357" i="4"/>
  <c r="A1358" i="4" s="1"/>
  <c r="E1357" i="4"/>
  <c r="C1357" i="4"/>
  <c r="F1357" i="4"/>
  <c r="D1357" i="4"/>
  <c r="B1357" i="4"/>
  <c r="E1358" i="4" l="1"/>
  <c r="D1358" i="4"/>
  <c r="B1358" i="4"/>
  <c r="H1358" i="4"/>
  <c r="G1358" i="4"/>
  <c r="A1359" i="4" s="1"/>
  <c r="F1358" i="4"/>
  <c r="C1358" i="4"/>
  <c r="E1359" i="4" l="1"/>
  <c r="B1359" i="4"/>
  <c r="G1359" i="4"/>
  <c r="A1360" i="4" s="1"/>
  <c r="D1359" i="4"/>
  <c r="C1359" i="4"/>
  <c r="F1359" i="4"/>
  <c r="H1359" i="4"/>
  <c r="H1360" i="4" l="1"/>
  <c r="G1360" i="4"/>
  <c r="A1361" i="4" s="1"/>
  <c r="F1360" i="4"/>
  <c r="E1360" i="4"/>
  <c r="D1360" i="4"/>
  <c r="C1360" i="4"/>
  <c r="B1360" i="4"/>
  <c r="G1361" i="4" l="1"/>
  <c r="A1362" i="4" s="1"/>
  <c r="F1361" i="4"/>
  <c r="D1361" i="4"/>
  <c r="C1361" i="4"/>
  <c r="H1361" i="4"/>
  <c r="E1361" i="4"/>
  <c r="B1361" i="4"/>
  <c r="E1362" i="4" l="1"/>
  <c r="H1362" i="4"/>
  <c r="G1362" i="4"/>
  <c r="A1363" i="4" s="1"/>
  <c r="F1362" i="4"/>
  <c r="D1362" i="4"/>
  <c r="C1362" i="4"/>
  <c r="B1362" i="4"/>
  <c r="B1363" i="4" l="1"/>
  <c r="G1363" i="4"/>
  <c r="A1364" i="4" s="1"/>
  <c r="H1363" i="4"/>
  <c r="F1363" i="4"/>
  <c r="E1363" i="4"/>
  <c r="D1363" i="4"/>
  <c r="C1363" i="4"/>
  <c r="H1364" i="4" l="1"/>
  <c r="F1364" i="4"/>
  <c r="E1364" i="4"/>
  <c r="G1364" i="4"/>
  <c r="A1365" i="4" s="1"/>
  <c r="D1364" i="4"/>
  <c r="C1364" i="4"/>
  <c r="B1364" i="4"/>
  <c r="E1365" i="4" l="1"/>
  <c r="H1365" i="4"/>
  <c r="D1365" i="4"/>
  <c r="B1365" i="4"/>
  <c r="C1365" i="4"/>
  <c r="G1365" i="4"/>
  <c r="A1366" i="4" s="1"/>
  <c r="F1365" i="4"/>
  <c r="H1366" i="4" l="1"/>
  <c r="G1366" i="4"/>
  <c r="A1367" i="4" s="1"/>
  <c r="F1366" i="4"/>
  <c r="E1366" i="4"/>
  <c r="D1366" i="4"/>
  <c r="C1366" i="4"/>
  <c r="B1366" i="4"/>
  <c r="H1367" i="4" l="1"/>
  <c r="G1367" i="4"/>
  <c r="A1368" i="4" s="1"/>
  <c r="F1367" i="4"/>
  <c r="E1367" i="4"/>
  <c r="D1367" i="4"/>
  <c r="C1367" i="4"/>
  <c r="B1367" i="4"/>
  <c r="E1368" i="4" l="1"/>
  <c r="C1368" i="4"/>
  <c r="B1368" i="4"/>
  <c r="H1368" i="4"/>
  <c r="G1368" i="4"/>
  <c r="A1369" i="4" s="1"/>
  <c r="F1368" i="4"/>
  <c r="D1368" i="4"/>
  <c r="H1369" i="4" l="1"/>
  <c r="G1369" i="4"/>
  <c r="A1370" i="4" s="1"/>
  <c r="E1369" i="4"/>
  <c r="C1369" i="4"/>
  <c r="F1369" i="4"/>
  <c r="D1369" i="4"/>
  <c r="B1369" i="4"/>
  <c r="F1370" i="4" l="1"/>
  <c r="E1370" i="4"/>
  <c r="D1370" i="4"/>
  <c r="C1370" i="4"/>
  <c r="B1370" i="4"/>
  <c r="H1370" i="4"/>
  <c r="G1370" i="4"/>
  <c r="A1371" i="4" s="1"/>
  <c r="E1371" i="4" l="1"/>
  <c r="F1371" i="4"/>
  <c r="D1371" i="4"/>
  <c r="B1371" i="4"/>
  <c r="H1371" i="4"/>
  <c r="G1371" i="4"/>
  <c r="A1372" i="4" s="1"/>
  <c r="C1371" i="4"/>
  <c r="D1372" i="4" l="1"/>
  <c r="B1372" i="4"/>
  <c r="H1372" i="4"/>
  <c r="G1372" i="4"/>
  <c r="A1373" i="4" s="1"/>
  <c r="F1372" i="4"/>
  <c r="E1372" i="4"/>
  <c r="C1372" i="4"/>
  <c r="H1373" i="4" l="1"/>
  <c r="G1373" i="4"/>
  <c r="A1374" i="4" s="1"/>
  <c r="F1373" i="4"/>
  <c r="E1373" i="4"/>
  <c r="D1373" i="4"/>
  <c r="C1373" i="4"/>
  <c r="B1373" i="4"/>
  <c r="E1374" i="4" l="1"/>
  <c r="H1374" i="4"/>
  <c r="G1374" i="4"/>
  <c r="A1375" i="4" s="1"/>
  <c r="D1374" i="4"/>
  <c r="C1374" i="4"/>
  <c r="F1374" i="4"/>
  <c r="B1374" i="4"/>
  <c r="B1375" i="4" l="1"/>
  <c r="G1375" i="4"/>
  <c r="A1376" i="4" s="1"/>
  <c r="F1375" i="4"/>
  <c r="E1375" i="4"/>
  <c r="D1375" i="4"/>
  <c r="H1375" i="4"/>
  <c r="C1375" i="4"/>
  <c r="H1376" i="4" l="1"/>
  <c r="G1376" i="4"/>
  <c r="A1377" i="4" s="1"/>
  <c r="F1376" i="4"/>
  <c r="E1376" i="4"/>
  <c r="D1376" i="4"/>
  <c r="C1376" i="4"/>
  <c r="B1376" i="4"/>
  <c r="E1377" i="4" l="1"/>
  <c r="G1377" i="4"/>
  <c r="A1378" i="4" s="1"/>
  <c r="F1377" i="4"/>
  <c r="H1377" i="4"/>
  <c r="D1377" i="4"/>
  <c r="C1377" i="4"/>
  <c r="B1377" i="4"/>
  <c r="H1378" i="4" l="1"/>
  <c r="C1378" i="4"/>
  <c r="B1378" i="4"/>
  <c r="G1378" i="4"/>
  <c r="A1379" i="4" s="1"/>
  <c r="F1378" i="4"/>
  <c r="E1378" i="4"/>
  <c r="D1378" i="4"/>
  <c r="C1379" i="4" l="1"/>
  <c r="H1379" i="4"/>
  <c r="G1379" i="4"/>
  <c r="A1380" i="4" s="1"/>
  <c r="F1379" i="4"/>
  <c r="E1379" i="4"/>
  <c r="D1379" i="4"/>
  <c r="B1379" i="4"/>
  <c r="F1380" i="4" l="1"/>
  <c r="G1380" i="4"/>
  <c r="A1381" i="4" s="1"/>
  <c r="H1380" i="4"/>
  <c r="E1380" i="4"/>
  <c r="D1380" i="4"/>
  <c r="C1380" i="4"/>
  <c r="B1380" i="4"/>
  <c r="H1381" i="4" l="1"/>
  <c r="B1381" i="4"/>
  <c r="F1381" i="4"/>
  <c r="E1381" i="4"/>
  <c r="C1381" i="4"/>
  <c r="D1381" i="4"/>
  <c r="G1381" i="4"/>
  <c r="A1382" i="4" s="1"/>
  <c r="H1382" i="4" l="1"/>
  <c r="G1382" i="4"/>
  <c r="A1383" i="4" s="1"/>
  <c r="F1382" i="4"/>
  <c r="E1382" i="4"/>
  <c r="D1382" i="4"/>
  <c r="C1382" i="4"/>
  <c r="B1382" i="4"/>
  <c r="G1383" i="4" l="1"/>
  <c r="A1384" i="4" s="1"/>
  <c r="H1383" i="4"/>
  <c r="F1383" i="4"/>
  <c r="E1383" i="4"/>
  <c r="D1383" i="4"/>
  <c r="C1383" i="4"/>
  <c r="B1383" i="4"/>
  <c r="H1384" i="4" l="1"/>
  <c r="C1384" i="4"/>
  <c r="F1384" i="4"/>
  <c r="E1384" i="4"/>
  <c r="D1384" i="4"/>
  <c r="B1384" i="4"/>
  <c r="G1384" i="4"/>
  <c r="A1385" i="4" s="1"/>
  <c r="B1385" i="4" l="1"/>
  <c r="H1385" i="4"/>
  <c r="C1385" i="4"/>
  <c r="D1385" i="4"/>
  <c r="E1385" i="4"/>
  <c r="F1385" i="4"/>
  <c r="G1385" i="4"/>
  <c r="A1386" i="4" s="1"/>
  <c r="H1386" i="4" l="1"/>
  <c r="G1386" i="4"/>
  <c r="A1387" i="4" s="1"/>
  <c r="F1386" i="4"/>
  <c r="E1386" i="4"/>
  <c r="D1386" i="4"/>
  <c r="C1386" i="4"/>
  <c r="B1386" i="4"/>
  <c r="H1387" i="4" l="1"/>
  <c r="D1387" i="4"/>
  <c r="F1387" i="4"/>
  <c r="B1387" i="4"/>
  <c r="G1387" i="4"/>
  <c r="A1388" i="4" s="1"/>
  <c r="C1387" i="4"/>
  <c r="E1387" i="4"/>
  <c r="E1388" i="4" l="1"/>
  <c r="D1388" i="4"/>
  <c r="B1388" i="4"/>
  <c r="C1388" i="4"/>
  <c r="H1388" i="4"/>
  <c r="G1388" i="4"/>
  <c r="A1389" i="4" s="1"/>
  <c r="F1388" i="4"/>
  <c r="H1389" i="4" l="1"/>
  <c r="G1389" i="4"/>
  <c r="A1390" i="4" s="1"/>
  <c r="F1389" i="4"/>
  <c r="E1389" i="4"/>
  <c r="D1389" i="4"/>
  <c r="B1389" i="4"/>
  <c r="C1389" i="4"/>
  <c r="H1390" i="4" l="1"/>
  <c r="E1390" i="4"/>
  <c r="G1390" i="4"/>
  <c r="A1391" i="4" s="1"/>
  <c r="F1390" i="4"/>
  <c r="D1390" i="4"/>
  <c r="C1390" i="4"/>
  <c r="B1390" i="4"/>
  <c r="H1391" i="4" l="1"/>
  <c r="G1391" i="4"/>
  <c r="A1392" i="4" s="1"/>
  <c r="E1391" i="4"/>
  <c r="D1391" i="4"/>
  <c r="F1391" i="4"/>
  <c r="C1391" i="4"/>
  <c r="B1391" i="4"/>
  <c r="G1392" i="4" l="1"/>
  <c r="A1393" i="4" s="1"/>
  <c r="D1392" i="4"/>
  <c r="B1392" i="4"/>
  <c r="H1392" i="4"/>
  <c r="F1392" i="4"/>
  <c r="E1392" i="4"/>
  <c r="C1392" i="4"/>
  <c r="H1393" i="4" l="1"/>
  <c r="F1393" i="4"/>
  <c r="B1393" i="4"/>
  <c r="E1393" i="4"/>
  <c r="C1393" i="4"/>
  <c r="G1393" i="4"/>
  <c r="A1394" i="4" s="1"/>
  <c r="D1393" i="4"/>
  <c r="H1394" i="4" l="1"/>
  <c r="G1394" i="4"/>
  <c r="A1395" i="4" s="1"/>
  <c r="F1394" i="4"/>
  <c r="E1394" i="4"/>
  <c r="D1394" i="4"/>
  <c r="C1394" i="4"/>
  <c r="B1394" i="4"/>
  <c r="C1395" i="4" l="1"/>
  <c r="B1395" i="4"/>
  <c r="D1395" i="4"/>
  <c r="F1395" i="4"/>
  <c r="E1395" i="4"/>
  <c r="H1395" i="4"/>
  <c r="G1395" i="4"/>
  <c r="A1396" i="4" s="1"/>
  <c r="H1396" i="4" l="1"/>
  <c r="G1396" i="4"/>
  <c r="A1397" i="4" s="1"/>
  <c r="C1396" i="4"/>
  <c r="F1396" i="4"/>
  <c r="E1396" i="4"/>
  <c r="D1396" i="4"/>
  <c r="B1396" i="4"/>
  <c r="H1397" i="4" l="1"/>
  <c r="G1397" i="4"/>
  <c r="A1398" i="4" s="1"/>
  <c r="F1397" i="4"/>
  <c r="E1397" i="4"/>
  <c r="D1397" i="4"/>
  <c r="C1397" i="4"/>
  <c r="B1397" i="4"/>
  <c r="F1398" i="4" l="1"/>
  <c r="E1398" i="4"/>
  <c r="C1398" i="4"/>
  <c r="B1398" i="4"/>
  <c r="H1398" i="4"/>
  <c r="G1398" i="4"/>
  <c r="A1399" i="4" s="1"/>
  <c r="D1398" i="4"/>
  <c r="H1399" i="4" l="1"/>
  <c r="D1399" i="4"/>
  <c r="C1399" i="4"/>
  <c r="B1399" i="4"/>
  <c r="F1399" i="4"/>
  <c r="G1399" i="4"/>
  <c r="A1400" i="4" s="1"/>
  <c r="E1399" i="4"/>
  <c r="E1400" i="4" l="1"/>
  <c r="C1400" i="4"/>
  <c r="H1400" i="4"/>
  <c r="G1400" i="4"/>
  <c r="A1401" i="4" s="1"/>
  <c r="D1400" i="4"/>
  <c r="F1400" i="4"/>
  <c r="B1400" i="4"/>
  <c r="H1401" i="4" l="1"/>
  <c r="F1401" i="4"/>
  <c r="E1401" i="4"/>
  <c r="G1401" i="4"/>
  <c r="A1402" i="4" s="1"/>
  <c r="D1401" i="4"/>
  <c r="C1401" i="4"/>
  <c r="B1401" i="4"/>
  <c r="H1402" i="4" l="1"/>
  <c r="E1402" i="4"/>
  <c r="G1402" i="4"/>
  <c r="A1403" i="4" s="1"/>
  <c r="F1402" i="4"/>
  <c r="D1402" i="4"/>
  <c r="C1402" i="4"/>
  <c r="B1402" i="4"/>
  <c r="B1403" i="4" l="1"/>
  <c r="E1403" i="4"/>
  <c r="D1403" i="4"/>
  <c r="C1403" i="4"/>
  <c r="H1403" i="4"/>
  <c r="G1403" i="4"/>
  <c r="A1404" i="4" s="1"/>
  <c r="F1403" i="4"/>
  <c r="H1404" i="4" l="1"/>
  <c r="G1404" i="4"/>
  <c r="A1405" i="4" s="1"/>
  <c r="F1404" i="4"/>
  <c r="E1404" i="4"/>
  <c r="D1404" i="4"/>
  <c r="C1404" i="4"/>
  <c r="B1404" i="4"/>
  <c r="H1405" i="4" l="1"/>
  <c r="F1405" i="4"/>
  <c r="D1405" i="4"/>
  <c r="C1405" i="4"/>
  <c r="G1405" i="4"/>
  <c r="A1406" i="4" s="1"/>
  <c r="E1405" i="4"/>
  <c r="B1405" i="4"/>
  <c r="C1406" i="4" l="1"/>
  <c r="H1406" i="4"/>
  <c r="G1406" i="4"/>
  <c r="A1407" i="4" s="1"/>
  <c r="F1406" i="4"/>
  <c r="E1406" i="4"/>
  <c r="B1406" i="4"/>
  <c r="D1406" i="4"/>
  <c r="D1407" i="4" l="1"/>
  <c r="C1407" i="4"/>
  <c r="B1407" i="4"/>
  <c r="H1407" i="4"/>
  <c r="G1407" i="4"/>
  <c r="A1408" i="4" s="1"/>
  <c r="F1407" i="4"/>
  <c r="E1407" i="4"/>
  <c r="G1408" i="4" l="1"/>
  <c r="A1409" i="4" s="1"/>
  <c r="H1408" i="4"/>
  <c r="F1408" i="4"/>
  <c r="D1408" i="4"/>
  <c r="C1408" i="4"/>
  <c r="E1408" i="4"/>
  <c r="B1408" i="4"/>
  <c r="E1409" i="4" l="1"/>
  <c r="B1409" i="4"/>
  <c r="H1409" i="4"/>
  <c r="G1409" i="4"/>
  <c r="A1410" i="4" s="1"/>
  <c r="F1409" i="4"/>
  <c r="D1409" i="4"/>
  <c r="C1409" i="4"/>
  <c r="H1410" i="4" l="1"/>
  <c r="G1410" i="4"/>
  <c r="A1411" i="4" s="1"/>
  <c r="F1410" i="4"/>
  <c r="E1410" i="4"/>
  <c r="D1410" i="4"/>
  <c r="C1410" i="4"/>
  <c r="B1410" i="4"/>
  <c r="G1411" i="4" l="1"/>
  <c r="A1412" i="4" s="1"/>
  <c r="H1411" i="4"/>
  <c r="D1411" i="4"/>
  <c r="C1411" i="4"/>
  <c r="B1411" i="4"/>
  <c r="F1411" i="4"/>
  <c r="E1411" i="4"/>
  <c r="B1412" i="4" l="1"/>
  <c r="G1412" i="4"/>
  <c r="A1413" i="4" s="1"/>
  <c r="C1412" i="4"/>
  <c r="F1412" i="4"/>
  <c r="E1412" i="4"/>
  <c r="H1412" i="4"/>
  <c r="D1412" i="4"/>
  <c r="C1413" i="4" l="1"/>
  <c r="G1413" i="4"/>
  <c r="A1414" i="4" s="1"/>
  <c r="E1413" i="4"/>
  <c r="D1413" i="4"/>
  <c r="B1413" i="4"/>
  <c r="H1413" i="4"/>
  <c r="F1413" i="4"/>
  <c r="G1414" i="4" l="1"/>
  <c r="A1415" i="4" s="1"/>
  <c r="H1414" i="4"/>
  <c r="F1414" i="4"/>
  <c r="E1414" i="4"/>
  <c r="D1414" i="4"/>
  <c r="C1414" i="4"/>
  <c r="B1414" i="4"/>
  <c r="C1415" i="4" l="1"/>
  <c r="E1415" i="4"/>
  <c r="G1415" i="4"/>
  <c r="A1416" i="4" s="1"/>
  <c r="F1415" i="4"/>
  <c r="H1415" i="4"/>
  <c r="D1415" i="4"/>
  <c r="B1415" i="4"/>
  <c r="C1416" i="4" l="1"/>
  <c r="B1416" i="4"/>
  <c r="D1416" i="4"/>
  <c r="G1416" i="4"/>
  <c r="A1417" i="4" s="1"/>
  <c r="F1416" i="4"/>
  <c r="E1416" i="4"/>
  <c r="H1416" i="4"/>
  <c r="G1417" i="4" l="1"/>
  <c r="A1418" i="4" s="1"/>
  <c r="F1417" i="4"/>
  <c r="E1417" i="4"/>
  <c r="D1417" i="4"/>
  <c r="C1417" i="4"/>
  <c r="B1417" i="4"/>
  <c r="H1417" i="4"/>
  <c r="D1418" i="4" l="1"/>
  <c r="G1418" i="4"/>
  <c r="A1419" i="4" s="1"/>
  <c r="H1418" i="4"/>
  <c r="E1418" i="4"/>
  <c r="B1418" i="4"/>
  <c r="F1418" i="4"/>
  <c r="C1418" i="4"/>
  <c r="C1419" i="4" l="1"/>
  <c r="G1419" i="4"/>
  <c r="A1420" i="4" s="1"/>
  <c r="F1419" i="4"/>
  <c r="D1419" i="4"/>
  <c r="B1419" i="4"/>
  <c r="H1419" i="4"/>
  <c r="E1419" i="4"/>
  <c r="G1420" i="4" l="1"/>
  <c r="A1421" i="4" s="1"/>
  <c r="D1420" i="4"/>
  <c r="C1420" i="4"/>
  <c r="B1420" i="4"/>
  <c r="H1420" i="4"/>
  <c r="F1420" i="4"/>
  <c r="E1420" i="4"/>
  <c r="E1421" i="4" l="1"/>
  <c r="D1421" i="4"/>
  <c r="B1421" i="4"/>
  <c r="C1421" i="4"/>
  <c r="H1421" i="4"/>
  <c r="G1421" i="4"/>
  <c r="A1422" i="4" s="1"/>
  <c r="F1421" i="4"/>
  <c r="E1422" i="4" l="1"/>
  <c r="H1422" i="4"/>
  <c r="G1422" i="4"/>
  <c r="A1423" i="4" s="1"/>
  <c r="B1422" i="4"/>
  <c r="C1422" i="4"/>
  <c r="D1422" i="4"/>
  <c r="F1422" i="4"/>
  <c r="G1423" i="4" l="1"/>
  <c r="A1424" i="4" s="1"/>
  <c r="C1423" i="4"/>
  <c r="B1423" i="4"/>
  <c r="H1423" i="4"/>
  <c r="F1423" i="4"/>
  <c r="E1423" i="4"/>
  <c r="D1423" i="4"/>
  <c r="F1424" i="4" l="1"/>
  <c r="E1424" i="4"/>
  <c r="D1424" i="4"/>
  <c r="C1424" i="4"/>
  <c r="B1424" i="4"/>
  <c r="H1424" i="4"/>
  <c r="G1424" i="4"/>
  <c r="A1425" i="4" s="1"/>
  <c r="G1425" i="4" l="1"/>
  <c r="A1426" i="4" s="1"/>
  <c r="C1425" i="4"/>
  <c r="F1425" i="4"/>
  <c r="D1425" i="4"/>
  <c r="H1425" i="4"/>
  <c r="E1425" i="4"/>
  <c r="B1425" i="4"/>
  <c r="G1426" i="4" l="1"/>
  <c r="A1427" i="4" s="1"/>
  <c r="H1426" i="4"/>
  <c r="F1426" i="4"/>
  <c r="D1426" i="4"/>
  <c r="C1426" i="4"/>
  <c r="E1426" i="4"/>
  <c r="B1426" i="4"/>
  <c r="G1427" i="4" l="1"/>
  <c r="A1428" i="4" s="1"/>
  <c r="H1427" i="4"/>
  <c r="F1427" i="4"/>
  <c r="E1427" i="4"/>
  <c r="D1427" i="4"/>
  <c r="C1427" i="4"/>
  <c r="B1427" i="4"/>
  <c r="E1428" i="4" l="1"/>
  <c r="B1428" i="4"/>
  <c r="H1428" i="4"/>
  <c r="G1428" i="4"/>
  <c r="A1429" i="4" s="1"/>
  <c r="F1428" i="4"/>
  <c r="D1428" i="4"/>
  <c r="C1428" i="4"/>
  <c r="G1429" i="4" l="1"/>
  <c r="A1430" i="4" s="1"/>
  <c r="D1429" i="4"/>
  <c r="B1429" i="4"/>
  <c r="C1429" i="4"/>
  <c r="H1429" i="4"/>
  <c r="F1429" i="4"/>
  <c r="E1429" i="4"/>
  <c r="H1430" i="4" l="1"/>
  <c r="E1430" i="4"/>
  <c r="D1430" i="4"/>
  <c r="B1430" i="4"/>
  <c r="G1430" i="4"/>
  <c r="A1431" i="4" s="1"/>
  <c r="F1430" i="4"/>
  <c r="C1430" i="4"/>
  <c r="G1431" i="4" l="1"/>
  <c r="A1432" i="4" s="1"/>
  <c r="D1431" i="4"/>
  <c r="H1431" i="4"/>
  <c r="E1431" i="4"/>
  <c r="F1431" i="4"/>
  <c r="C1431" i="4"/>
  <c r="B1431" i="4"/>
  <c r="G1432" i="4" l="1"/>
  <c r="A1433" i="4" s="1"/>
  <c r="C1432" i="4"/>
  <c r="H1432" i="4"/>
  <c r="F1432" i="4"/>
  <c r="E1432" i="4"/>
  <c r="D1432" i="4"/>
  <c r="B1432" i="4"/>
  <c r="G1433" i="4" l="1"/>
  <c r="A1434" i="4" s="1"/>
  <c r="F1433" i="4"/>
  <c r="C1433" i="4"/>
  <c r="B1433" i="4"/>
  <c r="H1433" i="4"/>
  <c r="E1433" i="4"/>
  <c r="D1433" i="4"/>
  <c r="F1434" i="4" l="1"/>
  <c r="C1434" i="4"/>
  <c r="B1434" i="4"/>
  <c r="H1434" i="4"/>
  <c r="G1434" i="4"/>
  <c r="A1435" i="4" s="1"/>
  <c r="D1434" i="4"/>
  <c r="E1434" i="4"/>
  <c r="G1435" i="4" l="1"/>
  <c r="A1436" i="4" s="1"/>
  <c r="E1435" i="4"/>
  <c r="H1435" i="4"/>
  <c r="F1435" i="4"/>
  <c r="D1435" i="4"/>
  <c r="C1435" i="4"/>
  <c r="B1435" i="4"/>
  <c r="H1436" i="4" l="1"/>
  <c r="G1436" i="4"/>
  <c r="A1437" i="4" s="1"/>
  <c r="F1436" i="4"/>
  <c r="E1436" i="4"/>
  <c r="C1436" i="4"/>
  <c r="D1436" i="4"/>
  <c r="B1436" i="4"/>
  <c r="B1437" i="4" l="1"/>
  <c r="H1437" i="4"/>
  <c r="G1437" i="4"/>
  <c r="A1438" i="4" s="1"/>
  <c r="E1437" i="4"/>
  <c r="D1437" i="4"/>
  <c r="F1437" i="4"/>
  <c r="C1437" i="4"/>
  <c r="G1438" i="4" l="1"/>
  <c r="A1439" i="4" s="1"/>
  <c r="H1438" i="4"/>
  <c r="C1438" i="4"/>
  <c r="B1438" i="4"/>
  <c r="E1438" i="4"/>
  <c r="D1438" i="4"/>
  <c r="F1438" i="4"/>
  <c r="D1439" i="4" l="1"/>
  <c r="B1439" i="4"/>
  <c r="H1439" i="4"/>
  <c r="G1439" i="4"/>
  <c r="A1440" i="4" s="1"/>
  <c r="F1439" i="4"/>
  <c r="E1439" i="4"/>
  <c r="C1439" i="4"/>
  <c r="C1440" i="4" l="1"/>
  <c r="H1440" i="4"/>
  <c r="G1440" i="4"/>
  <c r="A1441" i="4" s="1"/>
  <c r="F1440" i="4"/>
  <c r="E1440" i="4"/>
  <c r="D1440" i="4"/>
  <c r="B1440" i="4"/>
  <c r="G1441" i="4" l="1"/>
  <c r="A1442" i="4" s="1"/>
  <c r="E1441" i="4"/>
  <c r="B1441" i="4"/>
  <c r="H1441" i="4"/>
  <c r="F1441" i="4"/>
  <c r="C1441" i="4"/>
  <c r="D1441" i="4"/>
  <c r="B1442" i="4" l="1"/>
  <c r="F1442" i="4"/>
  <c r="E1442" i="4"/>
  <c r="D1442" i="4"/>
  <c r="C1442" i="4"/>
  <c r="H1442" i="4"/>
  <c r="G1442" i="4"/>
  <c r="A1443" i="4" s="1"/>
  <c r="D1443" i="4" l="1"/>
  <c r="H1443" i="4"/>
  <c r="G1443" i="4"/>
  <c r="A1444" i="4" s="1"/>
  <c r="F1443" i="4"/>
  <c r="E1443" i="4"/>
  <c r="C1443" i="4"/>
  <c r="B1443" i="4"/>
  <c r="G1444" i="4" l="1"/>
  <c r="A1445" i="4" s="1"/>
  <c r="H1444" i="4"/>
  <c r="D1444" i="4"/>
  <c r="E1444" i="4"/>
  <c r="F1444" i="4"/>
  <c r="B1444" i="4"/>
  <c r="C1444" i="4"/>
  <c r="D1445" i="4" l="1"/>
  <c r="F1445" i="4"/>
  <c r="E1445" i="4"/>
  <c r="B1445" i="4"/>
  <c r="H1445" i="4"/>
  <c r="C1445" i="4"/>
  <c r="G1445" i="4"/>
  <c r="A1446" i="4" s="1"/>
  <c r="E1446" i="4" l="1"/>
  <c r="H1446" i="4"/>
  <c r="G1446" i="4"/>
  <c r="A1447" i="4" s="1"/>
  <c r="F1446" i="4"/>
  <c r="D1446" i="4"/>
  <c r="C1446" i="4"/>
  <c r="B1446" i="4"/>
  <c r="G1447" i="4" l="1"/>
  <c r="A1448" i="4" s="1"/>
  <c r="F1447" i="4"/>
  <c r="H1447" i="4"/>
  <c r="E1447" i="4"/>
  <c r="D1447" i="4"/>
  <c r="C1447" i="4"/>
  <c r="B1447" i="4"/>
  <c r="F1448" i="4" l="1"/>
  <c r="B1448" i="4"/>
  <c r="H1448" i="4"/>
  <c r="G1448" i="4"/>
  <c r="A1449" i="4" s="1"/>
  <c r="D1448" i="4"/>
  <c r="C1448" i="4"/>
  <c r="E1448" i="4"/>
  <c r="F1449" i="4" l="1"/>
  <c r="C1449" i="4"/>
  <c r="B1449" i="4"/>
  <c r="H1449" i="4"/>
  <c r="G1449" i="4"/>
  <c r="A1450" i="4" s="1"/>
  <c r="E1449" i="4"/>
  <c r="D1449" i="4"/>
  <c r="G1450" i="4" l="1"/>
  <c r="A1451" i="4" s="1"/>
  <c r="H1450" i="4"/>
  <c r="F1450" i="4"/>
  <c r="E1450" i="4"/>
  <c r="D1450" i="4"/>
  <c r="C1450" i="4"/>
  <c r="B1450" i="4"/>
  <c r="H1451" i="4" l="1"/>
  <c r="D1451" i="4"/>
  <c r="G1451" i="4"/>
  <c r="A1452" i="4" s="1"/>
  <c r="F1451" i="4"/>
  <c r="E1451" i="4"/>
  <c r="C1451" i="4"/>
  <c r="B1451" i="4"/>
  <c r="G1452" i="4" l="1"/>
  <c r="A1453" i="4" s="1"/>
  <c r="H1452" i="4"/>
  <c r="F1452" i="4"/>
  <c r="E1452" i="4"/>
  <c r="D1452" i="4"/>
  <c r="C1452" i="4"/>
  <c r="B1452" i="4"/>
  <c r="G1453" i="4" l="1"/>
  <c r="A1454" i="4" s="1"/>
  <c r="F1453" i="4"/>
  <c r="C1453" i="4"/>
  <c r="B1453" i="4"/>
  <c r="H1453" i="4"/>
  <c r="E1453" i="4"/>
  <c r="D1453" i="4"/>
  <c r="F1454" i="4" l="1"/>
  <c r="C1454" i="4"/>
  <c r="G1454" i="4"/>
  <c r="A1455" i="4" s="1"/>
  <c r="D1454" i="4"/>
  <c r="B1454" i="4"/>
  <c r="E1454" i="4"/>
  <c r="H1454" i="4"/>
  <c r="H1455" i="4" l="1"/>
  <c r="B1455" i="4"/>
  <c r="G1455" i="4"/>
  <c r="A1456" i="4" s="1"/>
  <c r="F1455" i="4"/>
  <c r="D1455" i="4"/>
  <c r="C1455" i="4"/>
  <c r="E1455" i="4"/>
  <c r="G1456" i="4" l="1"/>
  <c r="A1457" i="4" s="1"/>
  <c r="F1456" i="4"/>
  <c r="E1456" i="4"/>
  <c r="D1456" i="4"/>
  <c r="C1456" i="4"/>
  <c r="B1456" i="4"/>
  <c r="H1456" i="4"/>
  <c r="H1457" i="4" l="1"/>
  <c r="E1457" i="4"/>
  <c r="G1457" i="4"/>
  <c r="A1458" i="4" s="1"/>
  <c r="F1457" i="4"/>
  <c r="D1457" i="4"/>
  <c r="C1457" i="4"/>
  <c r="B1457" i="4"/>
  <c r="D1458" i="4" l="1"/>
  <c r="E1458" i="4"/>
  <c r="C1458" i="4"/>
  <c r="B1458" i="4"/>
  <c r="G1458" i="4"/>
  <c r="A1459" i="4" s="1"/>
  <c r="H1458" i="4"/>
  <c r="F1458" i="4"/>
  <c r="G1459" i="4" l="1"/>
  <c r="A1460" i="4" s="1"/>
  <c r="H1459" i="4"/>
  <c r="F1459" i="4"/>
  <c r="E1459" i="4"/>
  <c r="D1459" i="4"/>
  <c r="C1459" i="4"/>
  <c r="B1459" i="4"/>
  <c r="G1460" i="4" l="1"/>
  <c r="A1461" i="4" s="1"/>
  <c r="D1460" i="4"/>
  <c r="C1460" i="4"/>
  <c r="B1460" i="4"/>
  <c r="F1460" i="4"/>
  <c r="E1460" i="4"/>
  <c r="H1460" i="4"/>
  <c r="F1461" i="4" l="1"/>
  <c r="B1461" i="4"/>
  <c r="H1461" i="4"/>
  <c r="E1461" i="4"/>
  <c r="C1461" i="4"/>
  <c r="G1461" i="4"/>
  <c r="A1462" i="4" s="1"/>
  <c r="D1461" i="4"/>
  <c r="G1462" i="4" l="1"/>
  <c r="A1463" i="4" s="1"/>
  <c r="B1462" i="4"/>
  <c r="H1462" i="4"/>
  <c r="F1462" i="4"/>
  <c r="E1462" i="4"/>
  <c r="D1462" i="4"/>
  <c r="C1462" i="4"/>
  <c r="H1463" i="4" l="1"/>
  <c r="G1463" i="4"/>
  <c r="A1464" i="4" s="1"/>
  <c r="F1463" i="4"/>
  <c r="E1463" i="4"/>
  <c r="D1463" i="4"/>
  <c r="C1463" i="4"/>
  <c r="B1463" i="4"/>
  <c r="H1464" i="4" l="1"/>
  <c r="D1464" i="4"/>
  <c r="B1464" i="4"/>
  <c r="G1464" i="4"/>
  <c r="A1465" i="4" s="1"/>
  <c r="F1464" i="4"/>
  <c r="E1464" i="4"/>
  <c r="C1464" i="4"/>
  <c r="G1465" i="4" l="1"/>
  <c r="A1466" i="4" s="1"/>
  <c r="C1465" i="4"/>
  <c r="D1465" i="4"/>
  <c r="H1465" i="4"/>
  <c r="F1465" i="4"/>
  <c r="E1465" i="4"/>
  <c r="B1465" i="4"/>
  <c r="H1466" i="4" l="1"/>
  <c r="G1466" i="4"/>
  <c r="A1467" i="4" s="1"/>
  <c r="E1466" i="4"/>
  <c r="D1466" i="4"/>
  <c r="C1466" i="4"/>
  <c r="B1466" i="4"/>
  <c r="F1466" i="4"/>
  <c r="F1467" i="4" l="1"/>
  <c r="C1467" i="4"/>
  <c r="H1467" i="4"/>
  <c r="G1467" i="4"/>
  <c r="A1468" i="4" s="1"/>
  <c r="E1467" i="4"/>
  <c r="D1467" i="4"/>
  <c r="B1467" i="4"/>
  <c r="G1468" i="4" l="1"/>
  <c r="A1469" i="4" s="1"/>
  <c r="D1468" i="4"/>
  <c r="B1468" i="4"/>
  <c r="H1468" i="4"/>
  <c r="F1468" i="4"/>
  <c r="E1468" i="4"/>
  <c r="C1468" i="4"/>
  <c r="C1469" i="4" l="1"/>
  <c r="B1469" i="4"/>
  <c r="H1469" i="4"/>
  <c r="E1469" i="4"/>
  <c r="D1469" i="4"/>
  <c r="G1469" i="4"/>
  <c r="A1470" i="4" s="1"/>
  <c r="F1469" i="4"/>
  <c r="H1470" i="4" l="1"/>
  <c r="E1470" i="4"/>
  <c r="G1470" i="4"/>
  <c r="A1471" i="4" s="1"/>
  <c r="F1470" i="4"/>
  <c r="D1470" i="4"/>
  <c r="B1470" i="4"/>
  <c r="C1470" i="4"/>
  <c r="G1471" i="4" l="1"/>
  <c r="A1472" i="4" s="1"/>
  <c r="E1471" i="4"/>
  <c r="D1471" i="4"/>
  <c r="H1471" i="4"/>
  <c r="F1471" i="4"/>
  <c r="C1471" i="4"/>
  <c r="B1471" i="4"/>
  <c r="H1472" i="4" l="1"/>
  <c r="G1472" i="4"/>
  <c r="A1473" i="4" s="1"/>
  <c r="F1472" i="4"/>
  <c r="E1472" i="4"/>
  <c r="D1472" i="4"/>
  <c r="C1472" i="4"/>
  <c r="B1472" i="4"/>
  <c r="G1473" i="4" l="1"/>
  <c r="A1474" i="4" s="1"/>
  <c r="H1473" i="4"/>
  <c r="F1473" i="4"/>
  <c r="E1473" i="4"/>
  <c r="D1473" i="4"/>
  <c r="C1473" i="4"/>
  <c r="B1473" i="4"/>
  <c r="G1474" i="4" l="1"/>
  <c r="A1475" i="4" s="1"/>
  <c r="F1474" i="4"/>
  <c r="H1474" i="4"/>
  <c r="B1474" i="4"/>
  <c r="E1474" i="4"/>
  <c r="D1474" i="4"/>
  <c r="C1474" i="4"/>
  <c r="E1475" i="4" l="1"/>
  <c r="D1475" i="4"/>
  <c r="C1475" i="4"/>
  <c r="B1475" i="4"/>
  <c r="H1475" i="4"/>
  <c r="F1475" i="4"/>
  <c r="G1475" i="4"/>
  <c r="A1476" i="4" s="1"/>
  <c r="G1476" i="4" l="1"/>
  <c r="A1477" i="4" s="1"/>
  <c r="F1476" i="4"/>
  <c r="E1476" i="4"/>
  <c r="D1476" i="4"/>
  <c r="C1476" i="4"/>
  <c r="B1476" i="4"/>
  <c r="H1476" i="4"/>
  <c r="G1477" i="4" l="1"/>
  <c r="A1478" i="4" s="1"/>
  <c r="H1477" i="4"/>
  <c r="D1477" i="4"/>
  <c r="F1477" i="4"/>
  <c r="C1477" i="4"/>
  <c r="E1477" i="4"/>
  <c r="B1477" i="4"/>
  <c r="B1478" i="4" l="1"/>
  <c r="H1478" i="4"/>
  <c r="G1478" i="4"/>
  <c r="A1479" i="4" s="1"/>
  <c r="F1478" i="4"/>
  <c r="E1478" i="4"/>
  <c r="D1478" i="4"/>
  <c r="C1478" i="4"/>
  <c r="B1479" i="4" l="1"/>
  <c r="H1479" i="4"/>
  <c r="G1479" i="4"/>
  <c r="A1480" i="4" s="1"/>
  <c r="F1479" i="4"/>
  <c r="E1479" i="4"/>
  <c r="D1479" i="4"/>
  <c r="C1479" i="4"/>
  <c r="G1480" i="4" l="1"/>
  <c r="A1481" i="4" s="1"/>
  <c r="F1480" i="4"/>
  <c r="C1480" i="4"/>
  <c r="B1480" i="4"/>
  <c r="H1480" i="4"/>
  <c r="E1480" i="4"/>
  <c r="D1480" i="4"/>
  <c r="D1481" i="4" l="1"/>
  <c r="H1481" i="4"/>
  <c r="G1481" i="4"/>
  <c r="A1482" i="4" s="1"/>
  <c r="F1481" i="4"/>
  <c r="E1481" i="4"/>
  <c r="C1481" i="4"/>
  <c r="B1481" i="4"/>
  <c r="G1482" i="4" l="1"/>
  <c r="A1483" i="4" s="1"/>
  <c r="F1482" i="4"/>
  <c r="E1482" i="4"/>
  <c r="D1482" i="4"/>
  <c r="C1482" i="4"/>
  <c r="B1482" i="4"/>
  <c r="H1482" i="4"/>
  <c r="G1483" i="4" l="1"/>
  <c r="A1484" i="4" s="1"/>
  <c r="E1483" i="4"/>
  <c r="H1483" i="4"/>
  <c r="D1483" i="4"/>
  <c r="C1483" i="4"/>
  <c r="B1483" i="4"/>
  <c r="F1483" i="4"/>
  <c r="B1484" i="4" l="1"/>
  <c r="F1484" i="4"/>
  <c r="H1484" i="4"/>
  <c r="G1484" i="4"/>
  <c r="A1485" i="4" s="1"/>
  <c r="E1484" i="4"/>
  <c r="D1484" i="4"/>
  <c r="C1484" i="4"/>
  <c r="H1485" i="4" l="1"/>
  <c r="G1485" i="4"/>
  <c r="A1486" i="4" s="1"/>
  <c r="F1485" i="4"/>
  <c r="E1485" i="4"/>
  <c r="D1485" i="4"/>
  <c r="C1485" i="4"/>
  <c r="B1485" i="4"/>
  <c r="G1486" i="4" l="1"/>
  <c r="A1487" i="4" s="1"/>
  <c r="H1486" i="4"/>
  <c r="D1486" i="4"/>
  <c r="C1486" i="4"/>
  <c r="B1486" i="4"/>
  <c r="F1486" i="4"/>
  <c r="E1486" i="4"/>
  <c r="C1487" i="4" l="1"/>
  <c r="H1487" i="4"/>
  <c r="D1487" i="4"/>
  <c r="G1487" i="4"/>
  <c r="A1488" i="4" s="1"/>
  <c r="E1487" i="4"/>
  <c r="B1487" i="4"/>
  <c r="F1487" i="4"/>
  <c r="H1488" i="4" l="1"/>
  <c r="G1488" i="4"/>
  <c r="A1489" i="4" s="1"/>
  <c r="F1488" i="4"/>
  <c r="E1488" i="4"/>
  <c r="D1488" i="4"/>
  <c r="C1488" i="4"/>
  <c r="B1488" i="4"/>
  <c r="G1489" i="4" l="1"/>
  <c r="A1490" i="4" s="1"/>
  <c r="H1489" i="4"/>
  <c r="F1489" i="4"/>
  <c r="E1489" i="4"/>
  <c r="D1489" i="4"/>
  <c r="C1489" i="4"/>
  <c r="B1489" i="4"/>
  <c r="D1490" i="4" l="1"/>
  <c r="F1490" i="4"/>
  <c r="B1490" i="4"/>
  <c r="C1490" i="4"/>
  <c r="H1490" i="4"/>
  <c r="G1490" i="4"/>
  <c r="A1491" i="4" s="1"/>
  <c r="E1490" i="4"/>
  <c r="B1491" i="4" l="1"/>
  <c r="F1491" i="4"/>
  <c r="E1491" i="4"/>
  <c r="D1491" i="4"/>
  <c r="C1491" i="4"/>
  <c r="H1491" i="4"/>
  <c r="G1491" i="4"/>
  <c r="A1492" i="4" s="1"/>
  <c r="G1492" i="4" l="1"/>
  <c r="A1493" i="4" s="1"/>
  <c r="H1492" i="4"/>
  <c r="F1492" i="4"/>
  <c r="E1492" i="4"/>
  <c r="D1492" i="4"/>
  <c r="C1492" i="4"/>
  <c r="B1492" i="4"/>
  <c r="E1493" i="4" l="1"/>
  <c r="H1493" i="4"/>
  <c r="D1493" i="4"/>
  <c r="G1493" i="4"/>
  <c r="A1494" i="4" s="1"/>
  <c r="F1493" i="4"/>
  <c r="C1493" i="4"/>
  <c r="B1493" i="4"/>
  <c r="D1494" i="4" l="1"/>
  <c r="B1494" i="4"/>
  <c r="H1494" i="4"/>
  <c r="E1494" i="4"/>
  <c r="C1494" i="4"/>
  <c r="F1494" i="4"/>
  <c r="G1494" i="4"/>
  <c r="A1495" i="4" s="1"/>
  <c r="G1495" i="4" l="1"/>
  <c r="A1496" i="4" s="1"/>
  <c r="H1495" i="4"/>
  <c r="F1495" i="4"/>
  <c r="E1495" i="4"/>
  <c r="D1495" i="4"/>
  <c r="B1495" i="4"/>
  <c r="C1495" i="4"/>
  <c r="F1496" i="4" l="1"/>
  <c r="G1496" i="4"/>
  <c r="A1497" i="4" s="1"/>
  <c r="H1496" i="4"/>
  <c r="E1496" i="4"/>
  <c r="D1496" i="4"/>
  <c r="C1496" i="4"/>
  <c r="B1496" i="4"/>
  <c r="F1497" i="4" l="1"/>
  <c r="B1497" i="4"/>
  <c r="H1497" i="4"/>
  <c r="G1497" i="4"/>
  <c r="A1498" i="4" s="1"/>
  <c r="E1497" i="4"/>
  <c r="D1497" i="4"/>
  <c r="C1497" i="4"/>
  <c r="G1498" i="4" l="1"/>
  <c r="A1499" i="4" s="1"/>
  <c r="H1498" i="4"/>
  <c r="F1498" i="4"/>
  <c r="E1498" i="4"/>
  <c r="D1498" i="4"/>
  <c r="C1498" i="4"/>
  <c r="B1498" i="4"/>
  <c r="G1499" i="4" l="1"/>
  <c r="A1500" i="4" s="1"/>
  <c r="H1499" i="4"/>
  <c r="F1499" i="4"/>
  <c r="D1499" i="4"/>
  <c r="C1499" i="4"/>
  <c r="B1499" i="4"/>
  <c r="E1499" i="4"/>
  <c r="H1500" i="4" l="1"/>
  <c r="D1500" i="4"/>
  <c r="G1500" i="4"/>
  <c r="A1501" i="4" s="1"/>
  <c r="F1500" i="4"/>
  <c r="E1500" i="4"/>
  <c r="C1500" i="4"/>
  <c r="B1500" i="4"/>
  <c r="G1501" i="4" l="1"/>
  <c r="A1502" i="4" s="1"/>
  <c r="E1501" i="4"/>
  <c r="D1501" i="4"/>
  <c r="C1501" i="4"/>
  <c r="B1501" i="4"/>
  <c r="H1501" i="4"/>
  <c r="F1501" i="4"/>
  <c r="H1502" i="4" l="1"/>
  <c r="F1502" i="4"/>
  <c r="E1502" i="4"/>
  <c r="D1502" i="4"/>
  <c r="C1502" i="4"/>
  <c r="B1502" i="4"/>
  <c r="G1502" i="4"/>
  <c r="A1503" i="4" s="1"/>
  <c r="F1503" i="4" l="1"/>
  <c r="C1503" i="4"/>
  <c r="H1503" i="4"/>
  <c r="E1503" i="4"/>
  <c r="G1503" i="4"/>
  <c r="A1504" i="4" s="1"/>
  <c r="D1503" i="4"/>
  <c r="B1503" i="4"/>
  <c r="G1504" i="4" l="1"/>
  <c r="A1505" i="4" s="1"/>
  <c r="B1504" i="4"/>
  <c r="H1504" i="4"/>
  <c r="F1504" i="4"/>
  <c r="E1504" i="4"/>
  <c r="D1504" i="4"/>
  <c r="C1504" i="4"/>
  <c r="C1505" i="4" l="1"/>
  <c r="B1505" i="4"/>
  <c r="F1505" i="4"/>
  <c r="D1505" i="4"/>
  <c r="H1505" i="4"/>
  <c r="G1505" i="4"/>
  <c r="A1506" i="4" s="1"/>
  <c r="E1505" i="4"/>
  <c r="H1506" i="4" l="1"/>
  <c r="E1506" i="4"/>
  <c r="G1506" i="4"/>
  <c r="A1507" i="4" s="1"/>
  <c r="F1506" i="4"/>
  <c r="D1506" i="4"/>
  <c r="C1506" i="4"/>
  <c r="B1506" i="4"/>
  <c r="G1507" i="4" l="1"/>
  <c r="A1508" i="4" s="1"/>
  <c r="D1507" i="4"/>
  <c r="H1507" i="4"/>
  <c r="F1507" i="4"/>
  <c r="E1507" i="4"/>
  <c r="C1507" i="4"/>
  <c r="B1507" i="4"/>
  <c r="H1508" i="4" l="1"/>
  <c r="G1508" i="4"/>
  <c r="A1509" i="4" s="1"/>
  <c r="F1508" i="4"/>
  <c r="E1508" i="4"/>
  <c r="D1508" i="4"/>
  <c r="C1508" i="4"/>
  <c r="B1508" i="4"/>
  <c r="B1509" i="4" l="1"/>
  <c r="G1509" i="4"/>
  <c r="A1510" i="4" s="1"/>
  <c r="H1509" i="4"/>
  <c r="F1509" i="4"/>
  <c r="E1509" i="4"/>
  <c r="D1509" i="4"/>
  <c r="C1509" i="4"/>
  <c r="G1510" i="4" l="1"/>
  <c r="A1511" i="4" s="1"/>
  <c r="F1510" i="4"/>
  <c r="B1510" i="4"/>
  <c r="E1510" i="4"/>
  <c r="D1510" i="4"/>
  <c r="H1510" i="4"/>
  <c r="C1510" i="4"/>
  <c r="H1511" i="4" l="1"/>
  <c r="G1511" i="4"/>
  <c r="A1512" i="4" s="1"/>
  <c r="F1511" i="4"/>
  <c r="D1511" i="4"/>
  <c r="B1511" i="4"/>
  <c r="E1511" i="4"/>
  <c r="C1511" i="4"/>
  <c r="C1512" i="4" l="1"/>
  <c r="F1512" i="4"/>
  <c r="E1512" i="4"/>
  <c r="D1512" i="4"/>
  <c r="B1512" i="4"/>
  <c r="H1512" i="4"/>
  <c r="G1512" i="4"/>
  <c r="A1513" i="4" s="1"/>
  <c r="G1513" i="4" l="1"/>
  <c r="A1514" i="4" s="1"/>
  <c r="D1513" i="4"/>
  <c r="H1513" i="4"/>
  <c r="F1513" i="4"/>
  <c r="E1513" i="4"/>
  <c r="C1513" i="4"/>
  <c r="B1513" i="4"/>
  <c r="B1514" i="4" l="1"/>
  <c r="G1514" i="4"/>
  <c r="A1515" i="4" s="1"/>
  <c r="F1514" i="4"/>
  <c r="E1514" i="4"/>
  <c r="D1514" i="4"/>
  <c r="C1514" i="4"/>
  <c r="H1514" i="4"/>
  <c r="D1515" i="4" l="1"/>
  <c r="H1515" i="4"/>
  <c r="G1515" i="4"/>
  <c r="A1516" i="4" s="1"/>
  <c r="F1515" i="4"/>
  <c r="E1515" i="4"/>
  <c r="C1515" i="4"/>
  <c r="B1515" i="4"/>
  <c r="G1516" i="4" l="1"/>
  <c r="A1517" i="4" s="1"/>
  <c r="F1516" i="4"/>
  <c r="C1516" i="4"/>
  <c r="D1516" i="4"/>
  <c r="B1516" i="4"/>
  <c r="H1516" i="4"/>
  <c r="E1516" i="4"/>
  <c r="C1517" i="4" l="1"/>
  <c r="H1517" i="4"/>
  <c r="F1517" i="4"/>
  <c r="E1517" i="4"/>
  <c r="D1517" i="4"/>
  <c r="B1517" i="4"/>
  <c r="G1517" i="4"/>
  <c r="A1518" i="4" s="1"/>
  <c r="E1518" i="4" l="1"/>
  <c r="H1518" i="4"/>
  <c r="G1518" i="4"/>
  <c r="A1519" i="4" s="1"/>
  <c r="F1518" i="4"/>
  <c r="D1518" i="4"/>
  <c r="C1518" i="4"/>
  <c r="B1518" i="4"/>
  <c r="G1519" i="4" l="1"/>
  <c r="A1520" i="4" s="1"/>
  <c r="E1519" i="4"/>
  <c r="H1519" i="4"/>
  <c r="F1519" i="4"/>
  <c r="D1519" i="4"/>
  <c r="C1519" i="4"/>
  <c r="B1519" i="4"/>
  <c r="E1520" i="4" l="1"/>
  <c r="C1520" i="4"/>
  <c r="B1520" i="4"/>
  <c r="F1520" i="4"/>
  <c r="D1520" i="4"/>
  <c r="G1520" i="4"/>
  <c r="A1521" i="4" s="1"/>
  <c r="H1520" i="4"/>
  <c r="F1521" i="4" l="1"/>
  <c r="C1521" i="4"/>
  <c r="H1521" i="4"/>
  <c r="E1521" i="4"/>
  <c r="G1521" i="4"/>
  <c r="A1522" i="4" s="1"/>
  <c r="D1521" i="4"/>
  <c r="B1521" i="4"/>
  <c r="G1522" i="4" l="1"/>
  <c r="A1523" i="4" s="1"/>
  <c r="H1522" i="4"/>
  <c r="F1522" i="4"/>
  <c r="E1522" i="4"/>
  <c r="D1522" i="4"/>
  <c r="C1522" i="4"/>
  <c r="B1522" i="4"/>
  <c r="G1523" i="4" l="1"/>
  <c r="A1524" i="4" s="1"/>
  <c r="C1523" i="4"/>
  <c r="H1523" i="4"/>
  <c r="F1523" i="4"/>
  <c r="E1523" i="4"/>
  <c r="D1523" i="4"/>
  <c r="B1523" i="4"/>
  <c r="G1524" i="4" l="1"/>
  <c r="A1525" i="4" s="1"/>
  <c r="H1524" i="4"/>
  <c r="F1524" i="4"/>
  <c r="E1524" i="4"/>
  <c r="D1524" i="4"/>
  <c r="C1524" i="4"/>
  <c r="B1524" i="4"/>
  <c r="G1525" i="4" l="1"/>
  <c r="A1526" i="4" s="1"/>
  <c r="B1525" i="4"/>
  <c r="E1525" i="4"/>
  <c r="C1525" i="4"/>
  <c r="H1525" i="4"/>
  <c r="F1525" i="4"/>
  <c r="D1525" i="4"/>
  <c r="E1526" i="4" l="1"/>
  <c r="B1526" i="4"/>
  <c r="H1526" i="4"/>
  <c r="G1526" i="4"/>
  <c r="A1527" i="4" s="1"/>
  <c r="F1526" i="4"/>
  <c r="D1526" i="4"/>
  <c r="C1526" i="4"/>
  <c r="H1527" i="4" l="1"/>
  <c r="F1527" i="4"/>
  <c r="E1527" i="4"/>
  <c r="D1527" i="4"/>
  <c r="C1527" i="4"/>
  <c r="B1527" i="4"/>
  <c r="G1527" i="4"/>
  <c r="A1528" i="4" s="1"/>
  <c r="G1528" i="4" l="1"/>
  <c r="A1529" i="4" s="1"/>
  <c r="F1528" i="4"/>
  <c r="D1528" i="4"/>
  <c r="E1528" i="4"/>
  <c r="C1528" i="4"/>
  <c r="B1528" i="4"/>
  <c r="H1528" i="4"/>
  <c r="G1529" i="4" l="1"/>
  <c r="A1530" i="4" s="1"/>
  <c r="D1529" i="4"/>
  <c r="H1529" i="4"/>
  <c r="F1529" i="4"/>
  <c r="E1529" i="4"/>
  <c r="C1529" i="4"/>
  <c r="B1529" i="4"/>
  <c r="C1530" i="4" l="1"/>
  <c r="H1530" i="4"/>
  <c r="G1530" i="4"/>
  <c r="A1531" i="4" s="1"/>
  <c r="F1530" i="4"/>
  <c r="E1530" i="4"/>
  <c r="D1530" i="4"/>
  <c r="B1530" i="4"/>
  <c r="G1531" i="4" l="1"/>
  <c r="A1532" i="4" s="1"/>
  <c r="D1531" i="4"/>
  <c r="C1531" i="4"/>
  <c r="B1531" i="4"/>
  <c r="E1531" i="4"/>
  <c r="H1531" i="4"/>
  <c r="F1531" i="4"/>
  <c r="F1532" i="4" l="1"/>
  <c r="H1532" i="4"/>
  <c r="G1532" i="4"/>
  <c r="A1533" i="4" s="1"/>
  <c r="E1532" i="4"/>
  <c r="D1532" i="4"/>
  <c r="C1532" i="4"/>
  <c r="B1532" i="4"/>
  <c r="E1533" i="4" l="1"/>
  <c r="G1533" i="4"/>
  <c r="A1534" i="4" s="1"/>
  <c r="D1533" i="4"/>
  <c r="C1533" i="4"/>
  <c r="B1533" i="4"/>
  <c r="H1533" i="4"/>
  <c r="F1533" i="4"/>
  <c r="G1534" i="4" l="1"/>
  <c r="A1535" i="4" s="1"/>
  <c r="B1534" i="4"/>
  <c r="H1534" i="4"/>
  <c r="F1534" i="4"/>
  <c r="E1534" i="4"/>
  <c r="D1534" i="4"/>
  <c r="C1534" i="4"/>
  <c r="H1535" i="4" l="1"/>
  <c r="B1535" i="4"/>
  <c r="G1535" i="4"/>
  <c r="A1536" i="4" s="1"/>
  <c r="F1535" i="4"/>
  <c r="E1535" i="4"/>
  <c r="D1535" i="4"/>
  <c r="C1535" i="4"/>
  <c r="G1536" i="4" l="1"/>
  <c r="A1537" i="4" s="1"/>
  <c r="C1536" i="4"/>
  <c r="D1536" i="4"/>
  <c r="B1536" i="4"/>
  <c r="F1536" i="4"/>
  <c r="E1536" i="4"/>
  <c r="H1536" i="4"/>
  <c r="G1537" i="4" l="1"/>
  <c r="A1538" i="4" s="1"/>
  <c r="C1537" i="4"/>
  <c r="H1537" i="4"/>
  <c r="E1537" i="4"/>
  <c r="B1537" i="4"/>
  <c r="F1537" i="4"/>
  <c r="D1537" i="4"/>
  <c r="G1538" i="4" l="1"/>
  <c r="A1539" i="4" s="1"/>
  <c r="F1538" i="4"/>
  <c r="E1538" i="4"/>
  <c r="D1538" i="4"/>
  <c r="C1538" i="4"/>
  <c r="B1538" i="4"/>
  <c r="H1538" i="4"/>
  <c r="E1539" i="4" l="1"/>
  <c r="B1539" i="4"/>
  <c r="H1539" i="4"/>
  <c r="G1539" i="4"/>
  <c r="A1540" i="4" s="1"/>
  <c r="F1539" i="4"/>
  <c r="D1539" i="4"/>
  <c r="C1539" i="4"/>
  <c r="G1540" i="4" l="1"/>
  <c r="A1541" i="4" s="1"/>
  <c r="D1540" i="4"/>
  <c r="H1540" i="4"/>
  <c r="F1540" i="4"/>
  <c r="E1540" i="4"/>
  <c r="C1540" i="4"/>
  <c r="B1540" i="4"/>
  <c r="H1541" i="4" l="1"/>
  <c r="G1541" i="4"/>
  <c r="A1542" i="4" s="1"/>
  <c r="F1541" i="4"/>
  <c r="E1541" i="4"/>
  <c r="D1541" i="4"/>
  <c r="C1541" i="4"/>
  <c r="B1541" i="4"/>
  <c r="G1542" i="4" l="1"/>
  <c r="A1543" i="4" s="1"/>
  <c r="D1542" i="4"/>
  <c r="E1542" i="4"/>
  <c r="C1542" i="4"/>
  <c r="B1542" i="4"/>
  <c r="H1542" i="4"/>
  <c r="F1542" i="4"/>
  <c r="G1543" i="4" l="1"/>
  <c r="A1544" i="4" s="1"/>
  <c r="E1543" i="4"/>
  <c r="C1543" i="4"/>
  <c r="H1543" i="4"/>
  <c r="F1543" i="4"/>
  <c r="D1543" i="4"/>
  <c r="B1543" i="4"/>
  <c r="H1544" i="4" l="1"/>
  <c r="G1544" i="4"/>
  <c r="A1545" i="4" s="1"/>
  <c r="F1544" i="4"/>
  <c r="C1544" i="4"/>
  <c r="B1544" i="4"/>
  <c r="E1544" i="4"/>
  <c r="D1544" i="4"/>
  <c r="F1545" i="4" l="1"/>
  <c r="H1545" i="4"/>
  <c r="G1545" i="4"/>
  <c r="A1546" i="4" s="1"/>
  <c r="E1545" i="4"/>
  <c r="D1545" i="4"/>
  <c r="C1545" i="4"/>
  <c r="B1545" i="4"/>
  <c r="G1546" i="4" l="1"/>
  <c r="A1547" i="4" s="1"/>
  <c r="F1546" i="4"/>
  <c r="E1546" i="4"/>
  <c r="C1546" i="4"/>
  <c r="B1546" i="4"/>
  <c r="H1546" i="4"/>
  <c r="D1546" i="4"/>
  <c r="F1547" i="4" l="1"/>
  <c r="E1547" i="4"/>
  <c r="D1547" i="4"/>
  <c r="C1547" i="4"/>
  <c r="B1547" i="4"/>
  <c r="G1547" i="4"/>
  <c r="A1548" i="4" s="1"/>
  <c r="H1547" i="4"/>
  <c r="H1548" i="4" l="1"/>
  <c r="G1548" i="4"/>
  <c r="A1549" i="4" s="1"/>
  <c r="F1548" i="4"/>
  <c r="D1548" i="4"/>
  <c r="C1548" i="4"/>
  <c r="B1548" i="4"/>
  <c r="E1548" i="4"/>
  <c r="G1549" i="4" l="1"/>
  <c r="A1550" i="4" s="1"/>
  <c r="H1549" i="4"/>
  <c r="C1549" i="4"/>
  <c r="F1549" i="4"/>
  <c r="E1549" i="4"/>
  <c r="D1549" i="4"/>
  <c r="B1549" i="4"/>
  <c r="C1550" i="4" l="1"/>
  <c r="B1550" i="4"/>
  <c r="D1550" i="4"/>
  <c r="H1550" i="4"/>
  <c r="G1550" i="4"/>
  <c r="A1551" i="4" s="1"/>
  <c r="F1550" i="4"/>
  <c r="E1550" i="4"/>
  <c r="H1551" i="4" l="1"/>
  <c r="G1551" i="4"/>
  <c r="A1552" i="4" s="1"/>
  <c r="F1551" i="4"/>
  <c r="E1551" i="4"/>
  <c r="D1551" i="4"/>
  <c r="C1551" i="4"/>
  <c r="B1551" i="4"/>
  <c r="G1552" i="4" l="1"/>
  <c r="A1553" i="4" s="1"/>
  <c r="E1552" i="4"/>
  <c r="B1552" i="4"/>
  <c r="H1552" i="4"/>
  <c r="F1552" i="4"/>
  <c r="D1552" i="4"/>
  <c r="C1552" i="4"/>
  <c r="C1553" i="4" l="1"/>
  <c r="H1553" i="4"/>
  <c r="G1553" i="4"/>
  <c r="A1554" i="4" s="1"/>
  <c r="F1553" i="4"/>
  <c r="E1553" i="4"/>
  <c r="D1553" i="4"/>
  <c r="B1553" i="4"/>
  <c r="G1554" i="4" l="1"/>
  <c r="A1555" i="4" s="1"/>
  <c r="F1554" i="4"/>
  <c r="E1554" i="4"/>
  <c r="B1554" i="4"/>
  <c r="H1554" i="4"/>
  <c r="D1554" i="4"/>
  <c r="C1554" i="4"/>
  <c r="G1555" i="4" l="1"/>
  <c r="A1556" i="4" s="1"/>
  <c r="H1555" i="4"/>
  <c r="D1555" i="4"/>
  <c r="F1555" i="4"/>
  <c r="E1555" i="4"/>
  <c r="C1555" i="4"/>
  <c r="B1555" i="4"/>
  <c r="B1556" i="4" l="1"/>
  <c r="E1556" i="4"/>
  <c r="H1556" i="4"/>
  <c r="G1556" i="4"/>
  <c r="A1557" i="4" s="1"/>
  <c r="F1556" i="4"/>
  <c r="C1556" i="4"/>
  <c r="D1556" i="4"/>
  <c r="E1557" i="4" l="1"/>
  <c r="D1557" i="4"/>
  <c r="C1557" i="4"/>
  <c r="B1557" i="4"/>
  <c r="H1557" i="4"/>
  <c r="G1557" i="4"/>
  <c r="A1558" i="4" s="1"/>
  <c r="F1557" i="4"/>
  <c r="G1558" i="4" l="1"/>
  <c r="A1559" i="4" s="1"/>
  <c r="F1558" i="4"/>
  <c r="E1558" i="4"/>
  <c r="D1558" i="4"/>
  <c r="C1558" i="4"/>
  <c r="B1558" i="4"/>
  <c r="H1558" i="4"/>
  <c r="C1559" i="4" l="1"/>
  <c r="G1559" i="4"/>
  <c r="A1560" i="4" s="1"/>
  <c r="B1559" i="4"/>
  <c r="H1559" i="4"/>
  <c r="F1559" i="4"/>
  <c r="E1559" i="4"/>
  <c r="D1559" i="4"/>
  <c r="H1560" i="4" l="1"/>
  <c r="G1560" i="4"/>
  <c r="A1561" i="4" s="1"/>
  <c r="F1560" i="4"/>
  <c r="E1560" i="4"/>
  <c r="D1560" i="4"/>
  <c r="C1560" i="4"/>
  <c r="B1560" i="4"/>
  <c r="G1561" i="4" l="1"/>
  <c r="A1562" i="4" s="1"/>
  <c r="B1561" i="4"/>
  <c r="H1561" i="4"/>
  <c r="D1561" i="4"/>
  <c r="C1561" i="4"/>
  <c r="F1561" i="4"/>
  <c r="E1561" i="4"/>
  <c r="D1562" i="4" l="1"/>
  <c r="E1562" i="4"/>
  <c r="H1562" i="4"/>
  <c r="G1562" i="4"/>
  <c r="A1563" i="4" s="1"/>
  <c r="C1562" i="4"/>
  <c r="B1562" i="4"/>
  <c r="F1562" i="4"/>
  <c r="H1563" i="4" l="1"/>
  <c r="G1563" i="4"/>
  <c r="A1564" i="4" s="1"/>
  <c r="F1563" i="4"/>
  <c r="E1563" i="4"/>
  <c r="D1563" i="4"/>
  <c r="C1563" i="4"/>
  <c r="B1563" i="4"/>
  <c r="G1564" i="4" l="1"/>
  <c r="A1565" i="4" s="1"/>
  <c r="H1564" i="4"/>
  <c r="F1564" i="4"/>
  <c r="E1564" i="4"/>
  <c r="D1564" i="4"/>
  <c r="C1564" i="4"/>
  <c r="B1564" i="4"/>
  <c r="E1565" i="4" l="1"/>
  <c r="G1565" i="4"/>
  <c r="A1566" i="4" s="1"/>
  <c r="C1565" i="4"/>
  <c r="H1565" i="4"/>
  <c r="F1565" i="4"/>
  <c r="D1565" i="4"/>
  <c r="B1565" i="4"/>
  <c r="C1566" i="4" l="1"/>
  <c r="G1566" i="4"/>
  <c r="A1567" i="4" s="1"/>
  <c r="F1566" i="4"/>
  <c r="E1566" i="4"/>
  <c r="D1566" i="4"/>
  <c r="B1566" i="4"/>
  <c r="H1566" i="4"/>
  <c r="G1567" i="4" l="1"/>
  <c r="A1568" i="4" s="1"/>
  <c r="H1567" i="4"/>
  <c r="F1567" i="4"/>
  <c r="E1567" i="4"/>
  <c r="D1567" i="4"/>
  <c r="C1567" i="4"/>
  <c r="B1567" i="4"/>
  <c r="F1568" i="4" l="1"/>
  <c r="E1568" i="4"/>
  <c r="G1568" i="4"/>
  <c r="A1569" i="4" s="1"/>
  <c r="D1568" i="4"/>
  <c r="C1568" i="4"/>
  <c r="B1568" i="4"/>
  <c r="H1568" i="4"/>
  <c r="E1569" i="4" l="1"/>
  <c r="H1569" i="4"/>
  <c r="G1569" i="4"/>
  <c r="A1570" i="4" s="1"/>
  <c r="F1569" i="4"/>
  <c r="D1569" i="4"/>
  <c r="C1569" i="4"/>
  <c r="B1569" i="4"/>
  <c r="G1570" i="4" l="1"/>
  <c r="A1571" i="4" s="1"/>
  <c r="H1570" i="4"/>
  <c r="F1570" i="4"/>
  <c r="C1570" i="4"/>
  <c r="B1570" i="4"/>
  <c r="D1570" i="4"/>
  <c r="E1570" i="4"/>
  <c r="G1571" i="4" l="1"/>
  <c r="A1572" i="4" s="1"/>
  <c r="H1571" i="4"/>
  <c r="F1571" i="4"/>
  <c r="E1571" i="4"/>
  <c r="D1571" i="4"/>
  <c r="C1571" i="4"/>
  <c r="B1571" i="4"/>
  <c r="G1572" i="4" l="1"/>
  <c r="A1573" i="4" s="1"/>
  <c r="C1572" i="4"/>
  <c r="E1572" i="4"/>
  <c r="D1572" i="4"/>
  <c r="B1572" i="4"/>
  <c r="F1572" i="4"/>
  <c r="H1572" i="4"/>
  <c r="G1573" i="4" l="1"/>
  <c r="A1574" i="4" s="1"/>
  <c r="H1573" i="4"/>
  <c r="F1573" i="4"/>
  <c r="E1573" i="4"/>
  <c r="D1573" i="4"/>
  <c r="C1573" i="4"/>
  <c r="B1573" i="4"/>
  <c r="H1574" i="4" l="1"/>
  <c r="G1574" i="4"/>
  <c r="A1575" i="4" s="1"/>
  <c r="F1574" i="4"/>
  <c r="E1574" i="4"/>
  <c r="D1574" i="4"/>
  <c r="C1574" i="4"/>
  <c r="B1574" i="4"/>
  <c r="E1575" i="4" l="1"/>
  <c r="B1575" i="4"/>
  <c r="H1575" i="4"/>
  <c r="G1575" i="4"/>
  <c r="A1576" i="4" s="1"/>
  <c r="F1575" i="4"/>
  <c r="D1575" i="4"/>
  <c r="C1575" i="4"/>
  <c r="G1576" i="4" l="1"/>
  <c r="A1577" i="4" s="1"/>
  <c r="C1576" i="4"/>
  <c r="B1576" i="4"/>
  <c r="H1576" i="4"/>
  <c r="F1576" i="4"/>
  <c r="E1576" i="4"/>
  <c r="D1576" i="4"/>
  <c r="F1577" i="4" l="1"/>
  <c r="E1577" i="4"/>
  <c r="D1577" i="4"/>
  <c r="H1577" i="4"/>
  <c r="G1577" i="4"/>
  <c r="A1578" i="4" s="1"/>
  <c r="C1577" i="4"/>
  <c r="B1577" i="4"/>
  <c r="G1578" i="4" l="1"/>
  <c r="A1579" i="4" s="1"/>
  <c r="D1578" i="4"/>
  <c r="H1578" i="4"/>
  <c r="E1578" i="4"/>
  <c r="C1578" i="4"/>
  <c r="B1578" i="4"/>
  <c r="F1578" i="4"/>
  <c r="G1579" i="4" l="1"/>
  <c r="A1580" i="4" s="1"/>
  <c r="C1579" i="4"/>
  <c r="H1579" i="4"/>
  <c r="F1579" i="4"/>
  <c r="E1579" i="4"/>
  <c r="D1579" i="4"/>
  <c r="B1579" i="4"/>
  <c r="B1580" i="4" l="1"/>
  <c r="H1580" i="4"/>
  <c r="G1580" i="4"/>
  <c r="A1581" i="4" s="1"/>
  <c r="F1580" i="4"/>
  <c r="E1580" i="4"/>
  <c r="D1580" i="4"/>
  <c r="C1580" i="4"/>
  <c r="B1581" i="4" l="1"/>
  <c r="F1581" i="4"/>
  <c r="C1581" i="4"/>
  <c r="D1581" i="4"/>
  <c r="H1581" i="4"/>
  <c r="G1581" i="4"/>
  <c r="A1582" i="4" s="1"/>
  <c r="E1581" i="4"/>
  <c r="G1582" i="4" l="1"/>
  <c r="A1583" i="4" s="1"/>
  <c r="E1582" i="4"/>
  <c r="C1582" i="4"/>
  <c r="H1582" i="4"/>
  <c r="D1582" i="4"/>
  <c r="B1582" i="4"/>
  <c r="F1582" i="4"/>
  <c r="D1583" i="4" l="1"/>
  <c r="H1583" i="4"/>
  <c r="G1583" i="4"/>
  <c r="A1584" i="4" s="1"/>
  <c r="F1583" i="4"/>
  <c r="E1583" i="4"/>
  <c r="C1583" i="4"/>
  <c r="B1583" i="4"/>
  <c r="D1584" i="4" l="1"/>
  <c r="H1584" i="4"/>
  <c r="G1584" i="4"/>
  <c r="A1585" i="4" s="1"/>
  <c r="F1584" i="4"/>
  <c r="E1584" i="4"/>
  <c r="C1584" i="4"/>
  <c r="B1584" i="4"/>
  <c r="H1585" i="4" l="1"/>
  <c r="F1585" i="4"/>
  <c r="D1585" i="4"/>
  <c r="G1585" i="4"/>
  <c r="A1586" i="4" s="1"/>
  <c r="E1585" i="4"/>
  <c r="C1585" i="4"/>
  <c r="B1585" i="4"/>
  <c r="D1586" i="4" l="1"/>
  <c r="H1586" i="4"/>
  <c r="G1586" i="4"/>
  <c r="A1587" i="4" s="1"/>
  <c r="F1586" i="4"/>
  <c r="E1586" i="4"/>
  <c r="C1586" i="4"/>
  <c r="B1586" i="4"/>
  <c r="F1587" i="4" l="1"/>
  <c r="H1587" i="4"/>
  <c r="G1587" i="4"/>
  <c r="A1588" i="4" s="1"/>
  <c r="E1587" i="4"/>
  <c r="D1587" i="4"/>
  <c r="C1587" i="4"/>
  <c r="B1587" i="4"/>
  <c r="G1588" i="4" l="1"/>
  <c r="A1589" i="4" s="1"/>
  <c r="D1588" i="4"/>
  <c r="H1588" i="4"/>
  <c r="C1588" i="4"/>
  <c r="B1588" i="4"/>
  <c r="F1588" i="4"/>
  <c r="E1588" i="4"/>
  <c r="D1589" i="4" l="1"/>
  <c r="E1589" i="4"/>
  <c r="B1589" i="4"/>
  <c r="F1589" i="4"/>
  <c r="C1589" i="4"/>
  <c r="H1589" i="4"/>
  <c r="G1589" i="4"/>
  <c r="A1590" i="4" s="1"/>
  <c r="H1590" i="4" l="1"/>
  <c r="F1590" i="4"/>
  <c r="D1590" i="4"/>
  <c r="C1590" i="4"/>
  <c r="B1590" i="4"/>
  <c r="G1590" i="4"/>
  <c r="A1591" i="4" s="1"/>
  <c r="E1590" i="4"/>
  <c r="G1591" i="4" l="1"/>
  <c r="A1592" i="4" s="1"/>
  <c r="H1591" i="4"/>
  <c r="F1591" i="4"/>
  <c r="E1591" i="4"/>
  <c r="D1591" i="4"/>
  <c r="C1591" i="4"/>
  <c r="B1591" i="4"/>
  <c r="D1592" i="4" l="1"/>
  <c r="B1592" i="4"/>
  <c r="H1592" i="4"/>
  <c r="F1592" i="4"/>
  <c r="C1592" i="4"/>
  <c r="G1592" i="4"/>
  <c r="A1593" i="4" s="1"/>
  <c r="E1592" i="4"/>
  <c r="F1593" i="4" l="1"/>
  <c r="E1593" i="4"/>
  <c r="D1593" i="4"/>
  <c r="C1593" i="4"/>
  <c r="B1593" i="4"/>
  <c r="H1593" i="4"/>
  <c r="G1593" i="4"/>
  <c r="A1594" i="4" s="1"/>
  <c r="B1594" i="4" l="1"/>
  <c r="H1594" i="4"/>
  <c r="G1594" i="4"/>
  <c r="A1595" i="4" s="1"/>
  <c r="F1594" i="4"/>
  <c r="E1594" i="4"/>
  <c r="D1594" i="4"/>
  <c r="C1594" i="4"/>
  <c r="D1595" i="4" l="1"/>
  <c r="C1595" i="4"/>
  <c r="G1595" i="4"/>
  <c r="A1596" i="4" s="1"/>
  <c r="B1595" i="4"/>
  <c r="H1595" i="4"/>
  <c r="F1595" i="4"/>
  <c r="E1595" i="4"/>
  <c r="C1596" i="4" l="1"/>
  <c r="E1596" i="4"/>
  <c r="D1596" i="4"/>
  <c r="B1596" i="4"/>
  <c r="G1596" i="4"/>
  <c r="A1597" i="4" s="1"/>
  <c r="F1596" i="4"/>
  <c r="H1596" i="4"/>
  <c r="D1597" i="4" l="1"/>
  <c r="H1597" i="4"/>
  <c r="F1597" i="4"/>
  <c r="E1597" i="4"/>
  <c r="C1597" i="4"/>
  <c r="B1597" i="4"/>
  <c r="G1597" i="4"/>
  <c r="A1598" i="4" s="1"/>
  <c r="D1598" i="4" l="1"/>
  <c r="E1598" i="4"/>
  <c r="H1598" i="4"/>
  <c r="G1598" i="4"/>
  <c r="A1599" i="4" s="1"/>
  <c r="F1598" i="4"/>
  <c r="C1598" i="4"/>
  <c r="B1598" i="4"/>
  <c r="G1599" i="4" l="1"/>
  <c r="A1600" i="4" s="1"/>
  <c r="E1599" i="4"/>
  <c r="C1599" i="4"/>
  <c r="H1599" i="4"/>
  <c r="F1599" i="4"/>
  <c r="D1599" i="4"/>
  <c r="B1599" i="4"/>
  <c r="F1600" i="4" l="1"/>
  <c r="G1600" i="4"/>
  <c r="A1601" i="4" s="1"/>
  <c r="D1600" i="4"/>
  <c r="H1600" i="4"/>
  <c r="E1600" i="4"/>
  <c r="C1600" i="4"/>
  <c r="B1600" i="4"/>
  <c r="D1601" i="4" l="1"/>
  <c r="F1601" i="4"/>
  <c r="H1601" i="4"/>
  <c r="G1601" i="4"/>
  <c r="A1602" i="4" s="1"/>
  <c r="E1601" i="4"/>
  <c r="C1601" i="4"/>
  <c r="B1601" i="4"/>
  <c r="H1602" i="4" l="1"/>
  <c r="E1602" i="4"/>
  <c r="F1602" i="4"/>
  <c r="D1602" i="4"/>
  <c r="C1602" i="4"/>
  <c r="B1602" i="4"/>
  <c r="G1602" i="4"/>
  <c r="A1603" i="4" s="1"/>
  <c r="H1603" i="4" l="1"/>
  <c r="G1603" i="4"/>
  <c r="A1604" i="4" s="1"/>
  <c r="D1603" i="4"/>
  <c r="B1603" i="4"/>
  <c r="F1603" i="4"/>
  <c r="E1603" i="4"/>
  <c r="C1603" i="4"/>
  <c r="D1604" i="4" l="1"/>
  <c r="G1604" i="4"/>
  <c r="A1605" i="4" s="1"/>
  <c r="C1604" i="4"/>
  <c r="B1604" i="4"/>
  <c r="H1604" i="4"/>
  <c r="F1604" i="4"/>
  <c r="E1604" i="4"/>
  <c r="D1605" i="4" l="1"/>
  <c r="C1605" i="4"/>
  <c r="B1605" i="4"/>
  <c r="H1605" i="4"/>
  <c r="G1605" i="4"/>
  <c r="A1606" i="4" s="1"/>
  <c r="F1605" i="4"/>
  <c r="E1605" i="4"/>
  <c r="H1606" i="4" l="1"/>
  <c r="F1606" i="4"/>
  <c r="C1606" i="4"/>
  <c r="E1606" i="4"/>
  <c r="D1606" i="4"/>
  <c r="B1606" i="4"/>
  <c r="G1606" i="4"/>
  <c r="A1607" i="4" s="1"/>
  <c r="D1607" i="4" l="1"/>
  <c r="H1607" i="4"/>
  <c r="B1607" i="4"/>
  <c r="G1607" i="4"/>
  <c r="A1608" i="4" s="1"/>
  <c r="F1607" i="4"/>
  <c r="C1607" i="4"/>
  <c r="E1607" i="4"/>
  <c r="H1608" i="4" l="1"/>
  <c r="G1608" i="4"/>
  <c r="A1609" i="4" s="1"/>
  <c r="E1608" i="4"/>
  <c r="D1608" i="4"/>
  <c r="C1608" i="4"/>
  <c r="B1608" i="4"/>
  <c r="F1608" i="4"/>
  <c r="F1609" i="4" l="1"/>
  <c r="E1609" i="4"/>
  <c r="D1609" i="4"/>
  <c r="C1609" i="4"/>
  <c r="B1609" i="4"/>
  <c r="H1609" i="4"/>
  <c r="G1609" i="4"/>
  <c r="A1610" i="4" s="1"/>
  <c r="D1610" i="4" l="1"/>
  <c r="E1610" i="4"/>
  <c r="G1610" i="4"/>
  <c r="A1611" i="4" s="1"/>
  <c r="F1610" i="4"/>
  <c r="H1610" i="4"/>
  <c r="C1610" i="4"/>
  <c r="B1610" i="4"/>
  <c r="C1611" i="4" l="1"/>
  <c r="B1611" i="4"/>
  <c r="F1611" i="4"/>
  <c r="D1611" i="4"/>
  <c r="H1611" i="4"/>
  <c r="G1611" i="4"/>
  <c r="A1612" i="4" s="1"/>
  <c r="E1611" i="4"/>
  <c r="H1612" i="4" l="1"/>
  <c r="G1612" i="4"/>
  <c r="A1613" i="4" s="1"/>
  <c r="F1612" i="4"/>
  <c r="E1612" i="4"/>
  <c r="D1612" i="4"/>
  <c r="C1612" i="4"/>
  <c r="B1612" i="4"/>
  <c r="D1613" i="4" l="1"/>
  <c r="G1613" i="4"/>
  <c r="A1614" i="4" s="1"/>
  <c r="H1613" i="4"/>
  <c r="F1613" i="4"/>
  <c r="E1613" i="4"/>
  <c r="C1613" i="4"/>
  <c r="B1613" i="4"/>
  <c r="B1614" i="4" l="1"/>
  <c r="F1614" i="4"/>
  <c r="E1614" i="4"/>
  <c r="D1614" i="4"/>
  <c r="C1614" i="4"/>
  <c r="H1614" i="4"/>
  <c r="G1614" i="4"/>
  <c r="A1615" i="4" s="1"/>
  <c r="E1615" i="4" l="1"/>
  <c r="C1615" i="4"/>
  <c r="H1615" i="4"/>
  <c r="G1615" i="4"/>
  <c r="A1616" i="4" s="1"/>
  <c r="F1615" i="4"/>
  <c r="D1615" i="4"/>
  <c r="B1615" i="4"/>
  <c r="D1616" i="4" l="1"/>
  <c r="H1616" i="4"/>
  <c r="F1616" i="4"/>
  <c r="E1616" i="4"/>
  <c r="C1616" i="4"/>
  <c r="G1616" i="4"/>
  <c r="A1617" i="4" s="1"/>
  <c r="B1616" i="4"/>
  <c r="C1617" i="4" l="1"/>
  <c r="H1617" i="4"/>
  <c r="G1617" i="4"/>
  <c r="A1618" i="4" s="1"/>
  <c r="F1617" i="4"/>
  <c r="E1617" i="4"/>
  <c r="D1617" i="4"/>
  <c r="B1617" i="4"/>
  <c r="F1618" i="4" l="1"/>
  <c r="H1618" i="4"/>
  <c r="G1618" i="4"/>
  <c r="A1619" i="4" s="1"/>
  <c r="E1618" i="4"/>
  <c r="D1618" i="4"/>
  <c r="B1618" i="4"/>
  <c r="C1618" i="4"/>
  <c r="D1619" i="4" l="1"/>
  <c r="F1619" i="4"/>
  <c r="C1619" i="4"/>
  <c r="H1619" i="4"/>
  <c r="G1619" i="4"/>
  <c r="A1620" i="4" s="1"/>
  <c r="E1619" i="4"/>
  <c r="B1619" i="4"/>
  <c r="D1620" i="4" l="1"/>
  <c r="C1620" i="4"/>
  <c r="H1620" i="4"/>
  <c r="G1620" i="4"/>
  <c r="A1621" i="4" s="1"/>
  <c r="F1620" i="4"/>
  <c r="E1620" i="4"/>
  <c r="B1620" i="4"/>
  <c r="E1621" i="4" l="1"/>
  <c r="D1621" i="4"/>
  <c r="C1621" i="4"/>
  <c r="B1621" i="4"/>
  <c r="H1621" i="4"/>
  <c r="G1621" i="4"/>
  <c r="A1622" i="4" s="1"/>
  <c r="F1621" i="4"/>
  <c r="E1622" i="4" l="1"/>
  <c r="H1622" i="4"/>
  <c r="B1622" i="4"/>
  <c r="G1622" i="4"/>
  <c r="A1623" i="4" s="1"/>
  <c r="F1622" i="4"/>
  <c r="D1622" i="4"/>
  <c r="C1622" i="4"/>
  <c r="F1623" i="4" l="1"/>
  <c r="G1623" i="4"/>
  <c r="A1624" i="4" s="1"/>
  <c r="E1623" i="4"/>
  <c r="C1623" i="4"/>
  <c r="H1623" i="4"/>
  <c r="D1623" i="4"/>
  <c r="B1623" i="4"/>
  <c r="H1624" i="4" l="1"/>
  <c r="G1624" i="4"/>
  <c r="A1625" i="4" s="1"/>
  <c r="F1624" i="4"/>
  <c r="E1624" i="4"/>
  <c r="B1624" i="4"/>
  <c r="C1624" i="4"/>
  <c r="D1624" i="4"/>
  <c r="F1625" i="4" l="1"/>
  <c r="G1625" i="4"/>
  <c r="A1626" i="4" s="1"/>
  <c r="E1625" i="4"/>
  <c r="D1625" i="4"/>
  <c r="C1625" i="4"/>
  <c r="B1625" i="4"/>
  <c r="H1625" i="4"/>
  <c r="H1626" i="4" l="1"/>
  <c r="G1626" i="4"/>
  <c r="A1627" i="4" s="1"/>
  <c r="F1626" i="4"/>
  <c r="E1626" i="4"/>
  <c r="D1626" i="4"/>
  <c r="C1626" i="4"/>
  <c r="B1626" i="4"/>
  <c r="C1627" i="4" l="1"/>
  <c r="F1627" i="4"/>
  <c r="H1627" i="4"/>
  <c r="E1627" i="4"/>
  <c r="G1627" i="4"/>
  <c r="A1628" i="4" s="1"/>
  <c r="D1627" i="4"/>
  <c r="B1627" i="4"/>
  <c r="G1628" i="4" l="1"/>
  <c r="A1629" i="4" s="1"/>
  <c r="E1628" i="4"/>
  <c r="D1628" i="4"/>
  <c r="C1628" i="4"/>
  <c r="B1628" i="4"/>
  <c r="F1628" i="4"/>
  <c r="H1628" i="4"/>
  <c r="C1629" i="4" l="1"/>
  <c r="H1629" i="4"/>
  <c r="G1629" i="4"/>
  <c r="A1630" i="4" s="1"/>
  <c r="F1629" i="4"/>
  <c r="E1629" i="4"/>
  <c r="D1629" i="4"/>
  <c r="B1629" i="4"/>
  <c r="C1630" i="4" l="1"/>
  <c r="F1630" i="4"/>
  <c r="H1630" i="4"/>
  <c r="G1630" i="4"/>
  <c r="A1631" i="4" s="1"/>
  <c r="E1630" i="4"/>
  <c r="D1630" i="4"/>
  <c r="B1630" i="4"/>
  <c r="H1631" i="4" l="1"/>
  <c r="G1631" i="4"/>
  <c r="A1632" i="4" s="1"/>
  <c r="F1631" i="4"/>
  <c r="E1631" i="4"/>
  <c r="C1631" i="4"/>
  <c r="B1631" i="4"/>
  <c r="D1631" i="4"/>
  <c r="B1632" i="4" l="1"/>
  <c r="G1632" i="4"/>
  <c r="A1633" i="4" s="1"/>
  <c r="H1632" i="4"/>
  <c r="F1632" i="4"/>
  <c r="E1632" i="4"/>
  <c r="C1632" i="4"/>
  <c r="D1632" i="4"/>
  <c r="G1633" i="4" l="1"/>
  <c r="A1634" i="4" s="1"/>
  <c r="E1633" i="4"/>
  <c r="H1633" i="4"/>
  <c r="F1633" i="4"/>
  <c r="D1633" i="4"/>
  <c r="C1633" i="4"/>
  <c r="B1633" i="4"/>
  <c r="B1634" i="4" l="1"/>
  <c r="H1634" i="4"/>
  <c r="G1634" i="4"/>
  <c r="A1635" i="4" s="1"/>
  <c r="C1634" i="4"/>
  <c r="F1634" i="4"/>
  <c r="E1634" i="4"/>
  <c r="D1634" i="4"/>
  <c r="G1635" i="4" l="1"/>
  <c r="A1636" i="4" s="1"/>
  <c r="F1635" i="4"/>
  <c r="E1635" i="4"/>
  <c r="D1635" i="4"/>
  <c r="C1635" i="4"/>
  <c r="H1635" i="4"/>
  <c r="B1635" i="4"/>
  <c r="H1636" i="4" l="1"/>
  <c r="G1636" i="4"/>
  <c r="A1637" i="4" s="1"/>
  <c r="F1636" i="4"/>
  <c r="D1636" i="4"/>
  <c r="C1636" i="4"/>
  <c r="B1636" i="4"/>
  <c r="E1636" i="4"/>
  <c r="F1637" i="4" l="1"/>
  <c r="G1637" i="4"/>
  <c r="A1638" i="4" s="1"/>
  <c r="H1637" i="4"/>
  <c r="E1637" i="4"/>
  <c r="D1637" i="4"/>
  <c r="C1637" i="4"/>
  <c r="B1637" i="4"/>
  <c r="B1638" i="4" l="1"/>
  <c r="H1638" i="4"/>
  <c r="F1638" i="4"/>
  <c r="E1638" i="4"/>
  <c r="G1638" i="4"/>
  <c r="A1639" i="4" s="1"/>
  <c r="D1638" i="4"/>
  <c r="C1638" i="4"/>
  <c r="E1639" i="4" l="1"/>
  <c r="D1639" i="4"/>
  <c r="C1639" i="4"/>
  <c r="B1639" i="4"/>
  <c r="G1639" i="4"/>
  <c r="A1640" i="4" s="1"/>
  <c r="F1639" i="4"/>
  <c r="H1639" i="4"/>
  <c r="C1640" i="4" l="1"/>
  <c r="D1640" i="4"/>
  <c r="H1640" i="4"/>
  <c r="G1640" i="4"/>
  <c r="A1641" i="4" s="1"/>
  <c r="F1640" i="4"/>
  <c r="E1640" i="4"/>
  <c r="B1640" i="4"/>
  <c r="C1641" i="4" l="1"/>
  <c r="B1641" i="4"/>
  <c r="D1641" i="4"/>
  <c r="E1641" i="4"/>
  <c r="H1641" i="4"/>
  <c r="G1641" i="4"/>
  <c r="A1642" i="4" s="1"/>
  <c r="F1641" i="4"/>
  <c r="H1642" i="4" l="1"/>
  <c r="G1642" i="4"/>
  <c r="A1643" i="4" s="1"/>
  <c r="F1642" i="4"/>
  <c r="D1642" i="4"/>
  <c r="C1642" i="4"/>
  <c r="E1642" i="4"/>
  <c r="B1642" i="4"/>
  <c r="E1643" i="4" l="1"/>
  <c r="G1643" i="4"/>
  <c r="A1644" i="4" s="1"/>
  <c r="B1643" i="4"/>
  <c r="H1643" i="4"/>
  <c r="D1643" i="4"/>
  <c r="F1643" i="4"/>
  <c r="C1643" i="4"/>
  <c r="D1644" i="4" l="1"/>
  <c r="G1644" i="4"/>
  <c r="A1645" i="4" s="1"/>
  <c r="H1644" i="4"/>
  <c r="F1644" i="4"/>
  <c r="E1644" i="4"/>
  <c r="C1644" i="4"/>
  <c r="B1644" i="4"/>
  <c r="H1645" i="4" l="1"/>
  <c r="G1645" i="4"/>
  <c r="A1646" i="4" s="1"/>
  <c r="F1645" i="4"/>
  <c r="E1645" i="4"/>
  <c r="D1645" i="4"/>
  <c r="C1645" i="4"/>
  <c r="B1645" i="4"/>
  <c r="H1646" i="4" l="1"/>
  <c r="G1646" i="4"/>
  <c r="A1647" i="4" s="1"/>
  <c r="F1646" i="4"/>
  <c r="E1646" i="4"/>
  <c r="D1646" i="4"/>
  <c r="B1646" i="4"/>
  <c r="C1646" i="4"/>
  <c r="E1647" i="4" l="1"/>
  <c r="C1647" i="4"/>
  <c r="H1647" i="4"/>
  <c r="G1647" i="4"/>
  <c r="A1648" i="4" s="1"/>
  <c r="D1647" i="4"/>
  <c r="B1647" i="4"/>
  <c r="F1647" i="4"/>
  <c r="B1648" i="4" l="1"/>
  <c r="F1648" i="4"/>
  <c r="H1648" i="4"/>
  <c r="G1648" i="4"/>
  <c r="A1649" i="4" s="1"/>
  <c r="D1648" i="4"/>
  <c r="C1648" i="4"/>
  <c r="E1648" i="4"/>
  <c r="H1649" i="4" l="1"/>
  <c r="G1649" i="4"/>
  <c r="A1650" i="4" s="1"/>
  <c r="F1649" i="4"/>
  <c r="E1649" i="4"/>
  <c r="D1649" i="4"/>
  <c r="C1649" i="4"/>
  <c r="B1649" i="4"/>
  <c r="F1650" i="4" l="1"/>
  <c r="C1650" i="4"/>
  <c r="H1650" i="4"/>
  <c r="G1650" i="4"/>
  <c r="A1651" i="4" s="1"/>
  <c r="E1650" i="4"/>
  <c r="D1650" i="4"/>
  <c r="B1650" i="4"/>
  <c r="D1651" i="4" l="1"/>
  <c r="B1651" i="4"/>
  <c r="H1651" i="4"/>
  <c r="G1651" i="4"/>
  <c r="A1652" i="4" s="1"/>
  <c r="F1651" i="4"/>
  <c r="E1651" i="4"/>
  <c r="C1651" i="4"/>
  <c r="C1652" i="4" l="1"/>
  <c r="H1652" i="4"/>
  <c r="G1652" i="4"/>
  <c r="A1653" i="4" s="1"/>
  <c r="F1652" i="4"/>
  <c r="E1652" i="4"/>
  <c r="D1652" i="4"/>
  <c r="B1652" i="4"/>
  <c r="G1653" i="4" l="1"/>
  <c r="A1654" i="4" s="1"/>
  <c r="F1653" i="4"/>
  <c r="H1653" i="4"/>
  <c r="E1653" i="4"/>
  <c r="D1653" i="4"/>
  <c r="C1653" i="4"/>
  <c r="B1653" i="4"/>
  <c r="F1654" i="4" l="1"/>
  <c r="E1654" i="4"/>
  <c r="H1654" i="4"/>
  <c r="G1654" i="4"/>
  <c r="A1655" i="4" s="1"/>
  <c r="D1654" i="4"/>
  <c r="C1654" i="4"/>
  <c r="B1654" i="4"/>
  <c r="H1655" i="4" l="1"/>
  <c r="G1655" i="4"/>
  <c r="A1656" i="4" s="1"/>
  <c r="F1655" i="4"/>
  <c r="E1655" i="4"/>
  <c r="D1655" i="4"/>
  <c r="C1655" i="4"/>
  <c r="B1655" i="4"/>
  <c r="H1656" i="4" l="1"/>
  <c r="B1656" i="4"/>
  <c r="G1656" i="4"/>
  <c r="A1657" i="4" s="1"/>
  <c r="F1656" i="4"/>
  <c r="E1656" i="4"/>
  <c r="D1656" i="4"/>
  <c r="C1656" i="4"/>
  <c r="H1657" i="4" l="1"/>
  <c r="C1657" i="4"/>
  <c r="G1657" i="4"/>
  <c r="A1658" i="4" s="1"/>
  <c r="F1657" i="4"/>
  <c r="E1657" i="4"/>
  <c r="D1657" i="4"/>
  <c r="B1657" i="4"/>
  <c r="B1658" i="4" l="1"/>
  <c r="G1658" i="4"/>
  <c r="A1659" i="4" s="1"/>
  <c r="F1658" i="4"/>
  <c r="E1658" i="4"/>
  <c r="D1658" i="4"/>
  <c r="C1658" i="4"/>
  <c r="H1658" i="4"/>
  <c r="E1659" i="4" l="1"/>
  <c r="H1659" i="4"/>
  <c r="G1659" i="4"/>
  <c r="A1660" i="4" s="1"/>
  <c r="F1659" i="4"/>
  <c r="D1659" i="4"/>
  <c r="B1659" i="4"/>
  <c r="C1659" i="4"/>
  <c r="B1660" i="4" l="1"/>
  <c r="F1660" i="4"/>
  <c r="H1660" i="4"/>
  <c r="G1660" i="4"/>
  <c r="A1661" i="4" s="1"/>
  <c r="E1660" i="4"/>
  <c r="D1660" i="4"/>
  <c r="C1660" i="4"/>
  <c r="B1661" i="4" l="1"/>
  <c r="F1661" i="4"/>
  <c r="G1661" i="4"/>
  <c r="A1662" i="4" s="1"/>
  <c r="E1661" i="4"/>
  <c r="H1661" i="4"/>
  <c r="D1661" i="4"/>
  <c r="C1661" i="4"/>
  <c r="E1662" i="4" l="1"/>
  <c r="D1662" i="4"/>
  <c r="C1662" i="4"/>
  <c r="B1662" i="4"/>
  <c r="H1662" i="4"/>
  <c r="G1662" i="4"/>
  <c r="A1663" i="4" s="1"/>
  <c r="F1662" i="4"/>
  <c r="C1663" i="4" l="1"/>
  <c r="D1663" i="4"/>
  <c r="B1663" i="4"/>
  <c r="H1663" i="4"/>
  <c r="G1663" i="4"/>
  <c r="A1664" i="4" s="1"/>
  <c r="F1663" i="4"/>
  <c r="E1663" i="4"/>
  <c r="D1664" i="4" l="1"/>
  <c r="H1664" i="4"/>
  <c r="G1664" i="4"/>
  <c r="A1665" i="4" s="1"/>
  <c r="F1664" i="4"/>
  <c r="E1664" i="4"/>
  <c r="C1664" i="4"/>
  <c r="B1664" i="4"/>
  <c r="B1665" i="4" l="1"/>
  <c r="H1665" i="4"/>
  <c r="G1665" i="4"/>
  <c r="A1666" i="4" s="1"/>
  <c r="E1665" i="4"/>
  <c r="D1665" i="4"/>
  <c r="F1665" i="4"/>
  <c r="C1665" i="4"/>
  <c r="D1666" i="4" l="1"/>
  <c r="E1666" i="4"/>
  <c r="C1666" i="4"/>
  <c r="B1666" i="4"/>
  <c r="H1666" i="4"/>
  <c r="G1666" i="4"/>
  <c r="A1667" i="4" s="1"/>
  <c r="F1666" i="4"/>
  <c r="F1667" i="4" l="1"/>
  <c r="D1667" i="4"/>
  <c r="H1667" i="4"/>
  <c r="G1667" i="4"/>
  <c r="A1668" i="4" s="1"/>
  <c r="E1667" i="4"/>
  <c r="C1667" i="4"/>
  <c r="B1667" i="4"/>
  <c r="F1668" i="4" l="1"/>
  <c r="H1668" i="4"/>
  <c r="G1668" i="4"/>
  <c r="A1669" i="4" s="1"/>
  <c r="E1668" i="4"/>
  <c r="D1668" i="4"/>
  <c r="B1668" i="4"/>
  <c r="C1668" i="4"/>
  <c r="E1669" i="4" l="1"/>
  <c r="H1669" i="4"/>
  <c r="G1669" i="4"/>
  <c r="A1670" i="4" s="1"/>
  <c r="D1669" i="4"/>
  <c r="C1669" i="4"/>
  <c r="F1669" i="4"/>
  <c r="B1669" i="4"/>
  <c r="H1670" i="4" l="1"/>
  <c r="G1670" i="4"/>
  <c r="A1671" i="4" s="1"/>
  <c r="F1670" i="4"/>
  <c r="C1670" i="4"/>
  <c r="B1670" i="4"/>
  <c r="E1670" i="4"/>
  <c r="D1670" i="4"/>
  <c r="H1671" i="4" l="1"/>
  <c r="G1671" i="4"/>
  <c r="A1672" i="4" s="1"/>
  <c r="F1671" i="4"/>
  <c r="E1671" i="4"/>
  <c r="D1671" i="4"/>
  <c r="C1671" i="4"/>
  <c r="B1671" i="4"/>
  <c r="F1672" i="4" l="1"/>
  <c r="C1672" i="4"/>
  <c r="H1672" i="4"/>
  <c r="G1672" i="4"/>
  <c r="A1673" i="4" s="1"/>
  <c r="E1672" i="4"/>
  <c r="D1672" i="4"/>
  <c r="B1672" i="4"/>
  <c r="H1673" i="4" l="1"/>
  <c r="G1673" i="4"/>
  <c r="A1674" i="4" s="1"/>
  <c r="F1673" i="4"/>
  <c r="E1673" i="4"/>
  <c r="C1673" i="4"/>
  <c r="B1673" i="4"/>
  <c r="D1673" i="4"/>
  <c r="B1674" i="4" l="1"/>
  <c r="C1674" i="4"/>
  <c r="E1674" i="4"/>
  <c r="H1674" i="4"/>
  <c r="G1674" i="4"/>
  <c r="A1675" i="4" s="1"/>
  <c r="F1674" i="4"/>
  <c r="D1674" i="4"/>
  <c r="G1675" i="4" l="1"/>
  <c r="A1676" i="4" s="1"/>
  <c r="H1675" i="4"/>
  <c r="F1675" i="4"/>
  <c r="E1675" i="4"/>
  <c r="D1675" i="4"/>
  <c r="C1675" i="4"/>
  <c r="B1675" i="4"/>
  <c r="H1676" i="4" l="1"/>
  <c r="G1676" i="4"/>
  <c r="A1677" i="4" s="1"/>
  <c r="F1676" i="4"/>
  <c r="E1676" i="4"/>
  <c r="D1676" i="4"/>
  <c r="C1676" i="4"/>
  <c r="B1676" i="4"/>
  <c r="D1677" i="4" l="1"/>
  <c r="F1677" i="4"/>
  <c r="H1677" i="4"/>
  <c r="G1677" i="4"/>
  <c r="A1678" i="4" s="1"/>
  <c r="E1677" i="4"/>
  <c r="C1677" i="4"/>
  <c r="B1677" i="4"/>
  <c r="H1678" i="4" l="1"/>
  <c r="C1678" i="4"/>
  <c r="B1678" i="4"/>
  <c r="G1678" i="4"/>
  <c r="A1679" i="4" s="1"/>
  <c r="F1678" i="4"/>
  <c r="E1678" i="4"/>
  <c r="D1678" i="4"/>
  <c r="D1679" i="4" l="1"/>
  <c r="E1679" i="4"/>
  <c r="C1679" i="4"/>
  <c r="B1679" i="4"/>
  <c r="H1679" i="4"/>
  <c r="G1679" i="4"/>
  <c r="A1680" i="4" s="1"/>
  <c r="F1679" i="4"/>
  <c r="F1680" i="4" l="1"/>
  <c r="H1680" i="4"/>
  <c r="G1680" i="4"/>
  <c r="A1681" i="4" s="1"/>
  <c r="E1680" i="4"/>
  <c r="D1680" i="4"/>
  <c r="C1680" i="4"/>
  <c r="B1680" i="4"/>
  <c r="B1681" i="4" l="1"/>
  <c r="H1681" i="4"/>
  <c r="G1681" i="4"/>
  <c r="A1682" i="4" s="1"/>
  <c r="F1681" i="4"/>
  <c r="E1681" i="4"/>
  <c r="D1681" i="4"/>
  <c r="C1681" i="4"/>
  <c r="H1682" i="4" l="1"/>
  <c r="B1682" i="4"/>
  <c r="G1682" i="4"/>
  <c r="A1683" i="4" s="1"/>
  <c r="F1682" i="4"/>
  <c r="E1682" i="4"/>
  <c r="D1682" i="4"/>
  <c r="C1682" i="4"/>
  <c r="H1683" i="4" l="1"/>
  <c r="B1683" i="4"/>
  <c r="G1683" i="4"/>
  <c r="A1684" i="4" s="1"/>
  <c r="F1683" i="4"/>
  <c r="E1683" i="4"/>
  <c r="D1683" i="4"/>
  <c r="C1683" i="4"/>
  <c r="E1684" i="4" l="1"/>
  <c r="H1684" i="4"/>
  <c r="G1684" i="4"/>
  <c r="A1685" i="4" s="1"/>
  <c r="F1684" i="4"/>
  <c r="C1684" i="4"/>
  <c r="B1684" i="4"/>
  <c r="D1684" i="4"/>
  <c r="B1685" i="4" l="1"/>
  <c r="F1685" i="4"/>
  <c r="H1685" i="4"/>
  <c r="G1685" i="4"/>
  <c r="A1686" i="4" s="1"/>
  <c r="E1685" i="4"/>
  <c r="D1685" i="4"/>
  <c r="C1685" i="4"/>
  <c r="D1686" i="4" l="1"/>
  <c r="H1686" i="4"/>
  <c r="G1686" i="4"/>
  <c r="A1687" i="4" s="1"/>
  <c r="F1686" i="4"/>
  <c r="E1686" i="4"/>
  <c r="C1686" i="4"/>
  <c r="B1686" i="4"/>
  <c r="C1687" i="4" l="1"/>
  <c r="H1687" i="4"/>
  <c r="G1687" i="4"/>
  <c r="A1688" i="4" s="1"/>
  <c r="F1687" i="4"/>
  <c r="E1687" i="4"/>
  <c r="D1687" i="4"/>
  <c r="B1687" i="4"/>
  <c r="C1688" i="4" l="1"/>
  <c r="G1688" i="4"/>
  <c r="A1689" i="4" s="1"/>
  <c r="F1688" i="4"/>
  <c r="B1688" i="4"/>
  <c r="H1688" i="4"/>
  <c r="E1688" i="4"/>
  <c r="D1688" i="4"/>
  <c r="H1689" i="4" l="1"/>
  <c r="C1689" i="4"/>
  <c r="F1689" i="4"/>
  <c r="E1689" i="4"/>
  <c r="D1689" i="4"/>
  <c r="B1689" i="4"/>
  <c r="G1689" i="4"/>
  <c r="A1690" i="4" s="1"/>
  <c r="E1690" i="4" l="1"/>
  <c r="F1690" i="4"/>
  <c r="D1690" i="4"/>
  <c r="C1690" i="4"/>
  <c r="B1690" i="4"/>
  <c r="H1690" i="4"/>
  <c r="G1690" i="4"/>
  <c r="A1691" i="4" s="1"/>
  <c r="D1691" i="4" l="1"/>
  <c r="C1691" i="4"/>
  <c r="H1691" i="4"/>
  <c r="F1691" i="4"/>
  <c r="E1691" i="4"/>
  <c r="B1691" i="4"/>
  <c r="G1691" i="4"/>
  <c r="A1692" i="4" s="1"/>
  <c r="H1692" i="4" l="1"/>
  <c r="G1692" i="4"/>
  <c r="A1693" i="4" s="1"/>
  <c r="E1692" i="4"/>
  <c r="D1692" i="4"/>
  <c r="F1692" i="4"/>
  <c r="C1692" i="4"/>
  <c r="B1692" i="4"/>
  <c r="G1693" i="4" l="1"/>
  <c r="A1694" i="4" s="1"/>
  <c r="E1693" i="4"/>
  <c r="F1693" i="4"/>
  <c r="D1693" i="4"/>
  <c r="C1693" i="4"/>
  <c r="B1693" i="4"/>
  <c r="H1693" i="4"/>
  <c r="E1694" i="4" l="1"/>
  <c r="G1694" i="4"/>
  <c r="A1695" i="4" s="1"/>
  <c r="C1694" i="4"/>
  <c r="B1694" i="4"/>
  <c r="H1694" i="4"/>
  <c r="F1694" i="4"/>
  <c r="D1694" i="4"/>
  <c r="E1695" i="4" l="1"/>
  <c r="D1695" i="4"/>
  <c r="C1695" i="4"/>
  <c r="B1695" i="4"/>
  <c r="H1695" i="4"/>
  <c r="G1695" i="4"/>
  <c r="A1696" i="4" s="1"/>
  <c r="F1695" i="4"/>
  <c r="F1696" i="4" l="1"/>
  <c r="H1696" i="4"/>
  <c r="G1696" i="4"/>
  <c r="A1697" i="4" s="1"/>
  <c r="D1696" i="4"/>
  <c r="C1696" i="4"/>
  <c r="E1696" i="4"/>
  <c r="B1696" i="4"/>
  <c r="F1697" i="4" l="1"/>
  <c r="B1697" i="4"/>
  <c r="E1697" i="4"/>
  <c r="D1697" i="4"/>
  <c r="C1697" i="4"/>
  <c r="H1697" i="4"/>
  <c r="G1697" i="4"/>
  <c r="A1698" i="4" s="1"/>
  <c r="B1698" i="4" l="1"/>
  <c r="H1698" i="4"/>
  <c r="G1698" i="4"/>
  <c r="A1699" i="4" s="1"/>
  <c r="F1698" i="4"/>
  <c r="E1698" i="4"/>
  <c r="D1698" i="4"/>
  <c r="C1698" i="4"/>
  <c r="C1699" i="4" l="1"/>
  <c r="B1699" i="4"/>
  <c r="H1699" i="4"/>
  <c r="G1699" i="4"/>
  <c r="A1700" i="4" s="1"/>
  <c r="F1699" i="4"/>
  <c r="E1699" i="4"/>
  <c r="D1699" i="4"/>
  <c r="G1700" i="4" l="1"/>
  <c r="A1701" i="4" s="1"/>
  <c r="C1700" i="4"/>
  <c r="F1700" i="4"/>
  <c r="D1700" i="4"/>
  <c r="H1700" i="4"/>
  <c r="B1700" i="4"/>
  <c r="E1700" i="4"/>
  <c r="E1701" i="4" l="1"/>
  <c r="D1701" i="4"/>
  <c r="C1701" i="4"/>
  <c r="B1701" i="4"/>
  <c r="H1701" i="4"/>
  <c r="G1701" i="4"/>
  <c r="A1702" i="4" s="1"/>
  <c r="F1701" i="4"/>
  <c r="H1702" i="4" l="1"/>
  <c r="G1702" i="4"/>
  <c r="A1703" i="4" s="1"/>
  <c r="F1702" i="4"/>
  <c r="E1702" i="4"/>
  <c r="D1702" i="4"/>
  <c r="C1702" i="4"/>
  <c r="B1702" i="4"/>
  <c r="H1703" i="4" l="1"/>
  <c r="E1703" i="4"/>
  <c r="G1703" i="4"/>
  <c r="A1704" i="4" s="1"/>
  <c r="F1703" i="4"/>
  <c r="D1703" i="4"/>
  <c r="C1703" i="4"/>
  <c r="B1703" i="4"/>
  <c r="H1704" i="4" l="1"/>
  <c r="C1704" i="4"/>
  <c r="B1704" i="4"/>
  <c r="G1704" i="4"/>
  <c r="A1705" i="4" s="1"/>
  <c r="F1704" i="4"/>
  <c r="D1704" i="4"/>
  <c r="E1704" i="4"/>
  <c r="D1705" i="4" l="1"/>
  <c r="C1705" i="4"/>
  <c r="B1705" i="4"/>
  <c r="E1705" i="4"/>
  <c r="H1705" i="4"/>
  <c r="G1705" i="4"/>
  <c r="A1706" i="4" s="1"/>
  <c r="F1705" i="4"/>
  <c r="G1706" i="4" l="1"/>
  <c r="A1707" i="4" s="1"/>
  <c r="D1706" i="4"/>
  <c r="C1706" i="4"/>
  <c r="B1706" i="4"/>
  <c r="H1706" i="4"/>
  <c r="F1706" i="4"/>
  <c r="E1706" i="4"/>
  <c r="G1707" i="4" l="1"/>
  <c r="A1708" i="4" s="1"/>
  <c r="H1707" i="4"/>
  <c r="F1707" i="4"/>
  <c r="D1707" i="4"/>
  <c r="C1707" i="4"/>
  <c r="B1707" i="4"/>
  <c r="E1707" i="4"/>
  <c r="D1708" i="4" l="1"/>
  <c r="H1708" i="4"/>
  <c r="G1708" i="4"/>
  <c r="A1709" i="4" s="1"/>
  <c r="F1708" i="4"/>
  <c r="C1708" i="4"/>
  <c r="B1708" i="4"/>
  <c r="E1708" i="4"/>
  <c r="B1709" i="4" l="1"/>
  <c r="H1709" i="4"/>
  <c r="G1709" i="4"/>
  <c r="A1710" i="4" s="1"/>
  <c r="F1709" i="4"/>
  <c r="E1709" i="4"/>
  <c r="D1709" i="4"/>
  <c r="C1709" i="4"/>
  <c r="B1710" i="4" l="1"/>
  <c r="D1710" i="4"/>
  <c r="C1710" i="4"/>
  <c r="H1710" i="4"/>
  <c r="G1710" i="4"/>
  <c r="A1711" i="4" s="1"/>
  <c r="F1710" i="4"/>
  <c r="E1710" i="4"/>
  <c r="G1711" i="4" l="1"/>
  <c r="A1712" i="4" s="1"/>
  <c r="D1711" i="4"/>
  <c r="E1711" i="4"/>
  <c r="H1711" i="4"/>
  <c r="F1711" i="4"/>
  <c r="C1711" i="4"/>
  <c r="B1711" i="4"/>
  <c r="H1712" i="4" l="1"/>
  <c r="G1712" i="4"/>
  <c r="A1713" i="4" s="1"/>
  <c r="F1712" i="4"/>
  <c r="E1712" i="4"/>
  <c r="C1712" i="4"/>
  <c r="B1712" i="4"/>
  <c r="D1712" i="4"/>
  <c r="C1713" i="4" l="1"/>
  <c r="D1713" i="4"/>
  <c r="H1713" i="4"/>
  <c r="G1713" i="4"/>
  <c r="A1714" i="4" s="1"/>
  <c r="F1713" i="4"/>
  <c r="E1713" i="4"/>
  <c r="B1713" i="4"/>
  <c r="G1714" i="4" l="1"/>
  <c r="A1715" i="4" s="1"/>
  <c r="H1714" i="4"/>
  <c r="F1714" i="4"/>
  <c r="E1714" i="4"/>
  <c r="D1714" i="4"/>
  <c r="C1714" i="4"/>
  <c r="B1714" i="4"/>
  <c r="B1715" i="4" l="1"/>
  <c r="C1715" i="4"/>
  <c r="F1715" i="4"/>
  <c r="G1715" i="4"/>
  <c r="A1716" i="4" s="1"/>
  <c r="E1715" i="4"/>
  <c r="D1715" i="4"/>
  <c r="H1715" i="4"/>
  <c r="D1716" i="4" l="1"/>
  <c r="F1716" i="4"/>
  <c r="H1716" i="4"/>
  <c r="G1716" i="4"/>
  <c r="A1717" i="4" s="1"/>
  <c r="E1716" i="4"/>
  <c r="B1716" i="4"/>
  <c r="C1716" i="4"/>
  <c r="C1717" i="4" l="1"/>
  <c r="B1717" i="4"/>
  <c r="G1717" i="4"/>
  <c r="A1718" i="4" s="1"/>
  <c r="F1717" i="4"/>
  <c r="E1717" i="4"/>
  <c r="D1717" i="4"/>
  <c r="H1717" i="4"/>
  <c r="E1718" i="4" l="1"/>
  <c r="B1718" i="4"/>
  <c r="H1718" i="4"/>
  <c r="G1718" i="4"/>
  <c r="A1719" i="4" s="1"/>
  <c r="F1718" i="4"/>
  <c r="D1718" i="4"/>
  <c r="C1718" i="4"/>
  <c r="E1719" i="4" l="1"/>
  <c r="H1719" i="4"/>
  <c r="D1719" i="4"/>
  <c r="G1719" i="4"/>
  <c r="A1720" i="4" s="1"/>
  <c r="F1719" i="4"/>
  <c r="C1719" i="4"/>
  <c r="B1719" i="4"/>
  <c r="H1720" i="4" l="1"/>
  <c r="G1720" i="4"/>
  <c r="A1721" i="4" s="1"/>
  <c r="F1720" i="4"/>
  <c r="D1720" i="4"/>
  <c r="C1720" i="4"/>
  <c r="E1720" i="4"/>
  <c r="B1720" i="4"/>
  <c r="H1721" i="4" l="1"/>
  <c r="E1721" i="4"/>
  <c r="B1721" i="4"/>
  <c r="G1721" i="4"/>
  <c r="A1722" i="4" s="1"/>
  <c r="F1721" i="4"/>
  <c r="D1721" i="4"/>
  <c r="C1721" i="4"/>
  <c r="F1722" i="4" l="1"/>
  <c r="E1722" i="4"/>
  <c r="H1722" i="4"/>
  <c r="G1722" i="4"/>
  <c r="A1723" i="4" s="1"/>
  <c r="D1722" i="4"/>
  <c r="C1722" i="4"/>
  <c r="B1722" i="4"/>
  <c r="C1723" i="4" l="1"/>
  <c r="E1723" i="4"/>
  <c r="H1723" i="4"/>
  <c r="G1723" i="4"/>
  <c r="A1724" i="4" s="1"/>
  <c r="D1723" i="4"/>
  <c r="B1723" i="4"/>
  <c r="F1723" i="4"/>
  <c r="H1724" i="4" l="1"/>
  <c r="G1724" i="4"/>
  <c r="A1725" i="4" s="1"/>
  <c r="F1724" i="4"/>
  <c r="E1724" i="4"/>
  <c r="C1724" i="4"/>
  <c r="B1724" i="4"/>
  <c r="D1724" i="4"/>
  <c r="G1725" i="4" l="1"/>
  <c r="A1726" i="4" s="1"/>
  <c r="C1725" i="4"/>
  <c r="B1725" i="4"/>
  <c r="H1725" i="4"/>
  <c r="F1725" i="4"/>
  <c r="E1725" i="4"/>
  <c r="D1725" i="4"/>
  <c r="E1726" i="4" l="1"/>
  <c r="D1726" i="4"/>
  <c r="H1726" i="4"/>
  <c r="G1726" i="4"/>
  <c r="A1727" i="4" s="1"/>
  <c r="F1726" i="4"/>
  <c r="C1726" i="4"/>
  <c r="B1726" i="4"/>
  <c r="C1727" i="4" l="1"/>
  <c r="D1727" i="4"/>
  <c r="B1727" i="4"/>
  <c r="H1727" i="4"/>
  <c r="G1727" i="4"/>
  <c r="A1728" i="4" s="1"/>
  <c r="F1727" i="4"/>
  <c r="E1727" i="4"/>
  <c r="H1728" i="4" l="1"/>
  <c r="F1728" i="4"/>
  <c r="C1728" i="4"/>
  <c r="G1728" i="4"/>
  <c r="A1729" i="4" s="1"/>
  <c r="E1728" i="4"/>
  <c r="B1728" i="4"/>
  <c r="D1728" i="4"/>
  <c r="G1729" i="4" l="1"/>
  <c r="A1730" i="4" s="1"/>
  <c r="D1729" i="4"/>
  <c r="C1729" i="4"/>
  <c r="B1729" i="4"/>
  <c r="H1729" i="4"/>
  <c r="F1729" i="4"/>
  <c r="E1729" i="4"/>
  <c r="B1730" i="4" l="1"/>
  <c r="H1730" i="4"/>
  <c r="G1730" i="4"/>
  <c r="A1731" i="4" s="1"/>
  <c r="F1730" i="4"/>
  <c r="E1730" i="4"/>
  <c r="D1730" i="4"/>
  <c r="C1730" i="4"/>
  <c r="F1731" i="4" l="1"/>
  <c r="H1731" i="4"/>
  <c r="G1731" i="4"/>
  <c r="A1732" i="4" s="1"/>
  <c r="E1731" i="4"/>
  <c r="D1731" i="4"/>
  <c r="C1731" i="4"/>
  <c r="B1731" i="4"/>
  <c r="B1732" i="4" l="1"/>
  <c r="H1732" i="4"/>
  <c r="C1732" i="4"/>
  <c r="G1732" i="4"/>
  <c r="A1733" i="4" s="1"/>
  <c r="E1732" i="4"/>
  <c r="D1732" i="4"/>
  <c r="F1732" i="4"/>
  <c r="H1733" i="4" l="1"/>
  <c r="E1733" i="4"/>
  <c r="D1733" i="4"/>
  <c r="C1733" i="4"/>
  <c r="B1733" i="4"/>
  <c r="G1733" i="4"/>
  <c r="A1734" i="4" s="1"/>
  <c r="F1733" i="4"/>
  <c r="H1734" i="4" l="1"/>
  <c r="G1734" i="4"/>
  <c r="A1735" i="4" s="1"/>
  <c r="F1734" i="4"/>
  <c r="E1734" i="4"/>
  <c r="D1734" i="4"/>
  <c r="C1734" i="4"/>
  <c r="B1734" i="4"/>
  <c r="C1735" i="4" l="1"/>
  <c r="G1735" i="4"/>
  <c r="A1736" i="4" s="1"/>
  <c r="D1735" i="4"/>
  <c r="H1735" i="4"/>
  <c r="F1735" i="4"/>
  <c r="E1735" i="4"/>
  <c r="B1735" i="4"/>
  <c r="C1736" i="4" l="1"/>
  <c r="B1736" i="4"/>
  <c r="G1736" i="4"/>
  <c r="A1737" i="4" s="1"/>
  <c r="F1736" i="4"/>
  <c r="H1736" i="4"/>
  <c r="E1736" i="4"/>
  <c r="D1736" i="4"/>
  <c r="F1737" i="4" l="1"/>
  <c r="E1737" i="4"/>
  <c r="D1737" i="4"/>
  <c r="C1737" i="4"/>
  <c r="B1737" i="4"/>
  <c r="H1737" i="4"/>
  <c r="G1737" i="4"/>
  <c r="A1738" i="4" s="1"/>
  <c r="D1738" i="4" l="1"/>
  <c r="H1738" i="4"/>
  <c r="G1738" i="4"/>
  <c r="A1739" i="4" s="1"/>
  <c r="F1738" i="4"/>
  <c r="E1738" i="4"/>
  <c r="C1738" i="4"/>
  <c r="B1738" i="4"/>
  <c r="E1739" i="4" l="1"/>
  <c r="D1739" i="4"/>
  <c r="C1739" i="4"/>
  <c r="B1739" i="4"/>
  <c r="F1739" i="4"/>
  <c r="H1739" i="4"/>
  <c r="G1739" i="4"/>
  <c r="A1740" i="4" s="1"/>
  <c r="G1740" i="4" l="1"/>
  <c r="A1741" i="4" s="1"/>
  <c r="F1740" i="4"/>
  <c r="H1740" i="4"/>
  <c r="E1740" i="4"/>
  <c r="D1740" i="4"/>
  <c r="C1740" i="4"/>
  <c r="B1740" i="4"/>
  <c r="E1741" i="4" l="1"/>
  <c r="F1741" i="4"/>
  <c r="H1741" i="4"/>
  <c r="G1741" i="4"/>
  <c r="A1742" i="4" s="1"/>
  <c r="D1741" i="4"/>
  <c r="C1741" i="4"/>
  <c r="B1741" i="4"/>
  <c r="G1742" i="4" l="1"/>
  <c r="A1743" i="4" s="1"/>
  <c r="F1742" i="4"/>
  <c r="D1742" i="4"/>
  <c r="H1742" i="4"/>
  <c r="E1742" i="4"/>
  <c r="C1742" i="4"/>
  <c r="B1742" i="4"/>
  <c r="D1743" i="4" l="1"/>
  <c r="H1743" i="4"/>
  <c r="G1743" i="4"/>
  <c r="A1744" i="4" s="1"/>
  <c r="F1743" i="4"/>
  <c r="C1743" i="4"/>
  <c r="B1743" i="4"/>
  <c r="E1743" i="4"/>
  <c r="F1744" i="4" l="1"/>
  <c r="H1744" i="4"/>
  <c r="G1744" i="4"/>
  <c r="A1745" i="4" s="1"/>
  <c r="E1744" i="4"/>
  <c r="D1744" i="4"/>
  <c r="C1744" i="4"/>
  <c r="B1744" i="4"/>
  <c r="H1745" i="4" l="1"/>
  <c r="D1745" i="4"/>
  <c r="G1745" i="4"/>
  <c r="A1746" i="4" s="1"/>
  <c r="F1745" i="4"/>
  <c r="E1745" i="4"/>
  <c r="C1745" i="4"/>
  <c r="B1745" i="4"/>
  <c r="E1746" i="4" l="1"/>
  <c r="B1746" i="4"/>
  <c r="C1746" i="4"/>
  <c r="H1746" i="4"/>
  <c r="G1746" i="4"/>
  <c r="A1747" i="4" s="1"/>
  <c r="F1746" i="4"/>
  <c r="D1746" i="4"/>
  <c r="G1747" i="4" l="1"/>
  <c r="A1748" i="4" s="1"/>
  <c r="D1747" i="4"/>
  <c r="E1747" i="4"/>
  <c r="C1747" i="4"/>
  <c r="B1747" i="4"/>
  <c r="H1747" i="4"/>
  <c r="F1747" i="4"/>
  <c r="H1748" i="4" l="1"/>
  <c r="G1748" i="4"/>
  <c r="A1749" i="4" s="1"/>
  <c r="F1748" i="4"/>
  <c r="D1748" i="4"/>
  <c r="C1748" i="4"/>
  <c r="B1748" i="4"/>
  <c r="E1748" i="4"/>
  <c r="C1749" i="4" l="1"/>
  <c r="B1749" i="4"/>
  <c r="F1749" i="4"/>
  <c r="D1749" i="4"/>
  <c r="H1749" i="4"/>
  <c r="G1749" i="4"/>
  <c r="A1750" i="4" s="1"/>
  <c r="E1749" i="4"/>
  <c r="H1750" i="4" l="1"/>
  <c r="B1750" i="4"/>
  <c r="E1750" i="4"/>
  <c r="D1750" i="4"/>
  <c r="C1750" i="4"/>
  <c r="G1750" i="4"/>
  <c r="A1751" i="4" s="1"/>
  <c r="F1750" i="4"/>
  <c r="D1751" i="4" l="1"/>
  <c r="E1751" i="4"/>
  <c r="C1751" i="4"/>
  <c r="B1751" i="4"/>
  <c r="H1751" i="4"/>
  <c r="G1751" i="4"/>
  <c r="A1752" i="4" s="1"/>
  <c r="F1751" i="4"/>
  <c r="E1752" i="4" l="1"/>
  <c r="D1752" i="4"/>
  <c r="H1752" i="4"/>
  <c r="G1752" i="4"/>
  <c r="A1753" i="4" s="1"/>
  <c r="F1752" i="4"/>
  <c r="C1752" i="4"/>
  <c r="B1752" i="4"/>
  <c r="F1753" i="4" l="1"/>
  <c r="C1753" i="4"/>
  <c r="D1753" i="4"/>
  <c r="G1753" i="4"/>
  <c r="A1754" i="4" s="1"/>
  <c r="E1753" i="4"/>
  <c r="H1753" i="4"/>
  <c r="B1753" i="4"/>
  <c r="F1754" i="4" l="1"/>
  <c r="E1754" i="4"/>
  <c r="D1754" i="4"/>
  <c r="C1754" i="4"/>
  <c r="B1754" i="4"/>
  <c r="H1754" i="4"/>
  <c r="G1754" i="4"/>
  <c r="A1755" i="4" s="1"/>
  <c r="G1755" i="4" l="1"/>
  <c r="A1756" i="4" s="1"/>
  <c r="F1755" i="4"/>
  <c r="C1755" i="4"/>
  <c r="H1755" i="4"/>
  <c r="E1755" i="4"/>
  <c r="D1755" i="4"/>
  <c r="B1755" i="4"/>
  <c r="G1756" i="4" l="1"/>
  <c r="A1757" i="4" s="1"/>
  <c r="H1756" i="4"/>
  <c r="F1756" i="4"/>
  <c r="E1756" i="4"/>
  <c r="D1756" i="4"/>
  <c r="C1756" i="4"/>
  <c r="B1756" i="4"/>
  <c r="B1757" i="4" l="1"/>
  <c r="C1757" i="4"/>
  <c r="D1757" i="4"/>
  <c r="H1757" i="4"/>
  <c r="G1757" i="4"/>
  <c r="A1758" i="4" s="1"/>
  <c r="F1757" i="4"/>
  <c r="E1757" i="4"/>
  <c r="H1758" i="4" l="1"/>
  <c r="F1758" i="4"/>
  <c r="E1758" i="4"/>
  <c r="D1758" i="4"/>
  <c r="C1758" i="4"/>
  <c r="B1758" i="4"/>
  <c r="G1758" i="4"/>
  <c r="A1759" i="4" s="1"/>
  <c r="B1759" i="4" l="1"/>
  <c r="E1759" i="4"/>
  <c r="H1759" i="4"/>
  <c r="G1759" i="4"/>
  <c r="A1760" i="4" s="1"/>
  <c r="F1759" i="4"/>
  <c r="D1759" i="4"/>
  <c r="C1759" i="4"/>
  <c r="C1760" i="4" l="1"/>
  <c r="B1760" i="4"/>
  <c r="H1760" i="4"/>
  <c r="E1760" i="4"/>
  <c r="G1760" i="4"/>
  <c r="A1761" i="4" s="1"/>
  <c r="F1760" i="4"/>
  <c r="D1760" i="4"/>
  <c r="C1761" i="4" l="1"/>
  <c r="H1761" i="4"/>
  <c r="G1761" i="4"/>
  <c r="A1762" i="4" s="1"/>
  <c r="F1761" i="4"/>
  <c r="E1761" i="4"/>
  <c r="D1761" i="4"/>
  <c r="B1761" i="4"/>
  <c r="E1762" i="4" l="1"/>
  <c r="D1762" i="4"/>
  <c r="H1762" i="4"/>
  <c r="G1762" i="4"/>
  <c r="A1763" i="4" s="1"/>
  <c r="F1762" i="4"/>
  <c r="B1762" i="4"/>
  <c r="C1762" i="4"/>
  <c r="D1763" i="4" l="1"/>
  <c r="C1763" i="4"/>
  <c r="G1763" i="4"/>
  <c r="A1764" i="4" s="1"/>
  <c r="B1763" i="4"/>
  <c r="H1763" i="4"/>
  <c r="F1763" i="4"/>
  <c r="E1763" i="4"/>
  <c r="E1764" i="4" l="1"/>
  <c r="B1764" i="4"/>
  <c r="H1764" i="4"/>
  <c r="G1764" i="4"/>
  <c r="A1765" i="4" s="1"/>
  <c r="F1764" i="4"/>
  <c r="D1764" i="4"/>
  <c r="C1764" i="4"/>
  <c r="H1765" i="4" l="1"/>
  <c r="G1765" i="4"/>
  <c r="A1766" i="4" s="1"/>
  <c r="F1765" i="4"/>
  <c r="C1765" i="4"/>
  <c r="D1765" i="4"/>
  <c r="B1765" i="4"/>
  <c r="E1765" i="4"/>
  <c r="E1766" i="4" l="1"/>
  <c r="D1766" i="4"/>
  <c r="H1766" i="4"/>
  <c r="G1766" i="4"/>
  <c r="A1767" i="4" s="1"/>
  <c r="F1766" i="4"/>
  <c r="C1766" i="4"/>
  <c r="B1766" i="4"/>
  <c r="H1767" i="4" l="1"/>
  <c r="F1767" i="4"/>
  <c r="E1767" i="4"/>
  <c r="D1767" i="4"/>
  <c r="C1767" i="4"/>
  <c r="B1767" i="4"/>
  <c r="G1767" i="4"/>
  <c r="A1768" i="4" s="1"/>
  <c r="D1768" i="4" l="1"/>
  <c r="E1768" i="4"/>
  <c r="B1768" i="4"/>
  <c r="H1768" i="4"/>
  <c r="G1768" i="4"/>
  <c r="A1769" i="4" s="1"/>
  <c r="F1768" i="4"/>
  <c r="C1768" i="4"/>
  <c r="F1769" i="4" l="1"/>
  <c r="E1769" i="4"/>
  <c r="C1769" i="4"/>
  <c r="B1769" i="4"/>
  <c r="H1769" i="4"/>
  <c r="G1769" i="4"/>
  <c r="A1770" i="4" s="1"/>
  <c r="D1769" i="4"/>
  <c r="C1770" i="4" l="1"/>
  <c r="B1770" i="4"/>
  <c r="H1770" i="4"/>
  <c r="G1770" i="4"/>
  <c r="A1771" i="4" s="1"/>
  <c r="F1770" i="4"/>
  <c r="E1770" i="4"/>
  <c r="D1770" i="4"/>
  <c r="G1771" i="4" l="1"/>
  <c r="A1772" i="4" s="1"/>
  <c r="H1771" i="4"/>
  <c r="F1771" i="4"/>
  <c r="D1771" i="4"/>
  <c r="C1771" i="4"/>
  <c r="E1771" i="4"/>
  <c r="B1771" i="4"/>
  <c r="G1772" i="4" l="1"/>
  <c r="A1773" i="4" s="1"/>
  <c r="F1772" i="4"/>
  <c r="H1772" i="4"/>
  <c r="E1772" i="4"/>
  <c r="D1772" i="4"/>
  <c r="C1772" i="4"/>
  <c r="B1772" i="4"/>
  <c r="C1773" i="4" l="1"/>
  <c r="B1773" i="4"/>
  <c r="H1773" i="4"/>
  <c r="G1773" i="4"/>
  <c r="A1774" i="4" s="1"/>
  <c r="F1773" i="4"/>
  <c r="E1773" i="4"/>
  <c r="D1773" i="4"/>
  <c r="C1774" i="4" l="1"/>
  <c r="H1774" i="4"/>
  <c r="G1774" i="4"/>
  <c r="A1775" i="4" s="1"/>
  <c r="F1774" i="4"/>
  <c r="E1774" i="4"/>
  <c r="D1774" i="4"/>
  <c r="B1774" i="4"/>
  <c r="H1775" i="4" l="1"/>
  <c r="G1775" i="4"/>
  <c r="A1776" i="4" s="1"/>
  <c r="B1775" i="4"/>
  <c r="F1775" i="4"/>
  <c r="E1775" i="4"/>
  <c r="D1775" i="4"/>
  <c r="C1775" i="4"/>
  <c r="C1776" i="4" l="1"/>
  <c r="B1776" i="4"/>
  <c r="H1776" i="4"/>
  <c r="E1776" i="4"/>
  <c r="F1776" i="4"/>
  <c r="D1776" i="4"/>
  <c r="G1776" i="4"/>
  <c r="A1777" i="4" s="1"/>
  <c r="F1777" i="4" l="1"/>
  <c r="G1777" i="4"/>
  <c r="A1778" i="4" s="1"/>
  <c r="E1777" i="4"/>
  <c r="D1777" i="4"/>
  <c r="C1777" i="4"/>
  <c r="B1777" i="4"/>
  <c r="H1777" i="4"/>
  <c r="H1778" i="4" l="1"/>
  <c r="E1778" i="4"/>
  <c r="D1778" i="4"/>
  <c r="G1778" i="4"/>
  <c r="A1779" i="4" s="1"/>
  <c r="F1778" i="4"/>
  <c r="C1778" i="4"/>
  <c r="B1778" i="4"/>
  <c r="F1779" i="4" l="1"/>
  <c r="E1779" i="4"/>
  <c r="D1779" i="4"/>
  <c r="H1779" i="4"/>
  <c r="G1779" i="4"/>
  <c r="A1780" i="4" s="1"/>
  <c r="C1779" i="4"/>
  <c r="B1779" i="4"/>
  <c r="H1780" i="4" l="1"/>
  <c r="E1780" i="4"/>
  <c r="G1780" i="4"/>
  <c r="A1781" i="4" s="1"/>
  <c r="F1780" i="4"/>
  <c r="D1780" i="4"/>
  <c r="C1780" i="4"/>
  <c r="B1780" i="4"/>
  <c r="H1781" i="4" l="1"/>
  <c r="G1781" i="4"/>
  <c r="A1782" i="4" s="1"/>
  <c r="F1781" i="4"/>
  <c r="E1781" i="4"/>
  <c r="C1781" i="4"/>
  <c r="B1781" i="4"/>
  <c r="D1781" i="4"/>
  <c r="B1782" i="4" l="1"/>
  <c r="H1782" i="4"/>
  <c r="G1782" i="4"/>
  <c r="A1783" i="4" s="1"/>
  <c r="C1782" i="4"/>
  <c r="E1782" i="4"/>
  <c r="D1782" i="4"/>
  <c r="F1782" i="4"/>
  <c r="B1783" i="4" l="1"/>
  <c r="D1783" i="4"/>
  <c r="H1783" i="4"/>
  <c r="G1783" i="4"/>
  <c r="A1784" i="4" s="1"/>
  <c r="F1783" i="4"/>
  <c r="E1783" i="4"/>
  <c r="C1783" i="4"/>
  <c r="G1784" i="4" l="1"/>
  <c r="A1785" i="4" s="1"/>
  <c r="D1784" i="4"/>
  <c r="H1784" i="4"/>
  <c r="F1784" i="4"/>
  <c r="E1784" i="4"/>
  <c r="C1784" i="4"/>
  <c r="B1784" i="4"/>
  <c r="C1785" i="4" l="1"/>
  <c r="B1785" i="4"/>
  <c r="E1785" i="4"/>
  <c r="H1785" i="4"/>
  <c r="F1785" i="4"/>
  <c r="D1785" i="4"/>
  <c r="G1785" i="4"/>
  <c r="A1786" i="4" s="1"/>
  <c r="E1786" i="4" l="1"/>
  <c r="D1786" i="4"/>
  <c r="C1786" i="4"/>
  <c r="H1786" i="4"/>
  <c r="G1786" i="4"/>
  <c r="A1787" i="4" s="1"/>
  <c r="B1786" i="4"/>
  <c r="F1786" i="4"/>
  <c r="E1787" i="4" l="1"/>
  <c r="D1787" i="4"/>
  <c r="C1787" i="4"/>
  <c r="B1787" i="4"/>
  <c r="H1787" i="4"/>
  <c r="G1787" i="4"/>
  <c r="A1788" i="4" s="1"/>
  <c r="F1787" i="4"/>
  <c r="D1788" i="4" l="1"/>
  <c r="C1788" i="4"/>
  <c r="H1788" i="4"/>
  <c r="E1788" i="4"/>
  <c r="G1788" i="4"/>
  <c r="A1789" i="4" s="1"/>
  <c r="B1788" i="4"/>
  <c r="F1788" i="4"/>
  <c r="H1789" i="4" l="1"/>
  <c r="G1789" i="4"/>
  <c r="A1790" i="4" s="1"/>
  <c r="F1789" i="4"/>
  <c r="B1789" i="4"/>
  <c r="E1789" i="4"/>
  <c r="D1789" i="4"/>
  <c r="C1789" i="4"/>
  <c r="H1790" i="4" l="1"/>
  <c r="G1790" i="4"/>
  <c r="A1791" i="4" s="1"/>
  <c r="D1790" i="4"/>
  <c r="C1790" i="4"/>
  <c r="B1790" i="4"/>
  <c r="F1790" i="4"/>
  <c r="E1790" i="4"/>
  <c r="E1791" i="4" l="1"/>
  <c r="D1791" i="4"/>
  <c r="H1791" i="4"/>
  <c r="C1791" i="4"/>
  <c r="G1791" i="4"/>
  <c r="A1792" i="4" s="1"/>
  <c r="F1791" i="4"/>
  <c r="B1791" i="4"/>
  <c r="D1792" i="4" l="1"/>
  <c r="F1792" i="4"/>
  <c r="C1792" i="4"/>
  <c r="B1792" i="4"/>
  <c r="E1792" i="4"/>
  <c r="G1792" i="4"/>
  <c r="A1793" i="4" s="1"/>
  <c r="H1792" i="4"/>
  <c r="C1793" i="4" l="1"/>
  <c r="B1793" i="4"/>
  <c r="D1793" i="4"/>
  <c r="H1793" i="4"/>
  <c r="G1793" i="4"/>
  <c r="A1794" i="4" s="1"/>
  <c r="F1793" i="4"/>
  <c r="E1793" i="4"/>
  <c r="F1794" i="4" l="1"/>
  <c r="E1794" i="4"/>
  <c r="H1794" i="4"/>
  <c r="G1794" i="4"/>
  <c r="A1795" i="4" s="1"/>
  <c r="D1794" i="4"/>
  <c r="C1794" i="4"/>
  <c r="B1794" i="4"/>
  <c r="G1795" i="4" l="1"/>
  <c r="A1796" i="4" s="1"/>
  <c r="F1795" i="4"/>
  <c r="E1795" i="4"/>
  <c r="H1795" i="4"/>
  <c r="D1795" i="4"/>
  <c r="C1795" i="4"/>
  <c r="B1795" i="4"/>
  <c r="F1796" i="4" l="1"/>
  <c r="E1796" i="4"/>
  <c r="D1796" i="4"/>
  <c r="H1796" i="4"/>
  <c r="C1796" i="4"/>
  <c r="G1796" i="4"/>
  <c r="A1797" i="4" s="1"/>
  <c r="B1796" i="4"/>
  <c r="G1797" i="4" l="1"/>
  <c r="A1798" i="4" s="1"/>
  <c r="F1797" i="4"/>
  <c r="C1797" i="4"/>
  <c r="D1797" i="4"/>
  <c r="B1797" i="4"/>
  <c r="H1797" i="4"/>
  <c r="E1797" i="4"/>
  <c r="H1798" i="4" l="1"/>
  <c r="C1798" i="4"/>
  <c r="B1798" i="4"/>
  <c r="G1798" i="4"/>
  <c r="A1799" i="4" s="1"/>
  <c r="F1798" i="4"/>
  <c r="E1798" i="4"/>
  <c r="D1798" i="4"/>
  <c r="H1799" i="4" l="1"/>
  <c r="C1799" i="4"/>
  <c r="E1799" i="4"/>
  <c r="D1799" i="4"/>
  <c r="B1799" i="4"/>
  <c r="G1799" i="4"/>
  <c r="A1800" i="4" s="1"/>
  <c r="F1799" i="4"/>
  <c r="H1800" i="4" l="1"/>
  <c r="G1800" i="4"/>
  <c r="A1801" i="4" s="1"/>
  <c r="B1800" i="4"/>
  <c r="F1800" i="4"/>
  <c r="E1800" i="4"/>
  <c r="D1800" i="4"/>
  <c r="C1800" i="4"/>
  <c r="F1801" i="4" l="1"/>
  <c r="C1801" i="4"/>
  <c r="D1801" i="4"/>
  <c r="B1801" i="4"/>
  <c r="H1801" i="4"/>
  <c r="G1801" i="4"/>
  <c r="A1802" i="4" s="1"/>
  <c r="E1801" i="4"/>
  <c r="C1802" i="4" l="1"/>
  <c r="G1802" i="4"/>
  <c r="A1803" i="4" s="1"/>
  <c r="D1802" i="4"/>
  <c r="B1802" i="4"/>
  <c r="H1802" i="4"/>
  <c r="F1802" i="4"/>
  <c r="E1802" i="4"/>
  <c r="H1803" i="4" l="1"/>
  <c r="F1803" i="4"/>
  <c r="E1803" i="4"/>
  <c r="D1803" i="4"/>
  <c r="G1803" i="4"/>
  <c r="A1804" i="4" s="1"/>
  <c r="C1803" i="4"/>
  <c r="B1803" i="4"/>
  <c r="B1804" i="4" l="1"/>
  <c r="F1804" i="4"/>
  <c r="E1804" i="4"/>
  <c r="D1804" i="4"/>
  <c r="C1804" i="4"/>
  <c r="H1804" i="4"/>
  <c r="G1804" i="4"/>
  <c r="A1805" i="4" s="1"/>
  <c r="F1805" i="4" l="1"/>
  <c r="G1805" i="4"/>
  <c r="A1806" i="4" s="1"/>
  <c r="C1805" i="4"/>
  <c r="H1805" i="4"/>
  <c r="E1805" i="4"/>
  <c r="D1805" i="4"/>
  <c r="B1805" i="4"/>
  <c r="H1806" i="4" l="1"/>
  <c r="C1806" i="4"/>
  <c r="G1806" i="4"/>
  <c r="A1807" i="4" s="1"/>
  <c r="F1806" i="4"/>
  <c r="E1806" i="4"/>
  <c r="B1806" i="4"/>
  <c r="D1806" i="4"/>
  <c r="C1807" i="4" l="1"/>
  <c r="B1807" i="4"/>
  <c r="E1807" i="4"/>
  <c r="D1807" i="4"/>
  <c r="G1807" i="4"/>
  <c r="A1808" i="4" s="1"/>
  <c r="F1807" i="4"/>
  <c r="H1807" i="4"/>
  <c r="H1808" i="4" l="1"/>
  <c r="G1808" i="4"/>
  <c r="A1809" i="4" s="1"/>
  <c r="F1808" i="4"/>
  <c r="E1808" i="4"/>
  <c r="D1808" i="4"/>
  <c r="C1808" i="4"/>
  <c r="B1808" i="4"/>
  <c r="G1809" i="4" l="1"/>
  <c r="A1810" i="4" s="1"/>
  <c r="H1809" i="4"/>
  <c r="D1809" i="4"/>
  <c r="F1809" i="4"/>
  <c r="E1809" i="4"/>
  <c r="C1809" i="4"/>
  <c r="B1809" i="4"/>
  <c r="D1810" i="4" l="1"/>
  <c r="C1810" i="4"/>
  <c r="H1810" i="4"/>
  <c r="G1810" i="4"/>
  <c r="A1811" i="4" s="1"/>
  <c r="F1810" i="4"/>
  <c r="E1810" i="4"/>
  <c r="B1810" i="4"/>
  <c r="C1811" i="4" l="1"/>
  <c r="H1811" i="4"/>
  <c r="G1811" i="4"/>
  <c r="A1812" i="4" s="1"/>
  <c r="E1811" i="4"/>
  <c r="D1811" i="4"/>
  <c r="F1811" i="4"/>
  <c r="B1811" i="4"/>
  <c r="D1812" i="4" l="1"/>
  <c r="C1812" i="4"/>
  <c r="B1812" i="4"/>
  <c r="E1812" i="4"/>
  <c r="H1812" i="4"/>
  <c r="G1812" i="4"/>
  <c r="A1813" i="4" s="1"/>
  <c r="F1812" i="4"/>
  <c r="E1813" i="4" l="1"/>
  <c r="D1813" i="4"/>
  <c r="F1813" i="4"/>
  <c r="H1813" i="4"/>
  <c r="G1813" i="4"/>
  <c r="A1814" i="4" s="1"/>
  <c r="C1813" i="4"/>
  <c r="B1813" i="4"/>
  <c r="E1814" i="4" l="1"/>
  <c r="D1814" i="4"/>
  <c r="C1814" i="4"/>
  <c r="F1814" i="4"/>
  <c r="H1814" i="4"/>
  <c r="G1814" i="4"/>
  <c r="A1815" i="4" s="1"/>
  <c r="B1814" i="4"/>
  <c r="G1815" i="4" l="1"/>
  <c r="A1816" i="4" s="1"/>
  <c r="C1815" i="4"/>
  <c r="F1815" i="4"/>
  <c r="H1815" i="4"/>
  <c r="E1815" i="4"/>
  <c r="D1815" i="4"/>
  <c r="B1815" i="4"/>
  <c r="F1816" i="4" l="1"/>
  <c r="E1816" i="4"/>
  <c r="H1816" i="4"/>
  <c r="G1816" i="4"/>
  <c r="A1817" i="4" s="1"/>
  <c r="C1816" i="4"/>
  <c r="B1816" i="4"/>
  <c r="D1816" i="4"/>
  <c r="H1817" i="4" l="1"/>
  <c r="G1817" i="4"/>
  <c r="A1818" i="4" s="1"/>
  <c r="B1817" i="4"/>
  <c r="D1817" i="4"/>
  <c r="C1817" i="4"/>
  <c r="F1817" i="4"/>
  <c r="E1817" i="4"/>
  <c r="F1818" i="4" l="1"/>
  <c r="C1818" i="4"/>
  <c r="H1818" i="4"/>
  <c r="G1818" i="4"/>
  <c r="A1819" i="4" s="1"/>
  <c r="E1818" i="4"/>
  <c r="D1818" i="4"/>
  <c r="B1818" i="4"/>
  <c r="G1819" i="4" l="1"/>
  <c r="A1820" i="4" s="1"/>
  <c r="F1819" i="4"/>
  <c r="C1819" i="4"/>
  <c r="B1819" i="4"/>
  <c r="H1819" i="4"/>
  <c r="E1819" i="4"/>
  <c r="D1819" i="4"/>
  <c r="F1820" i="4" l="1"/>
  <c r="D1820" i="4"/>
  <c r="G1820" i="4"/>
  <c r="A1821" i="4" s="1"/>
  <c r="E1820" i="4"/>
  <c r="C1820" i="4"/>
  <c r="B1820" i="4"/>
  <c r="H1820" i="4"/>
  <c r="E1821" i="4" l="1"/>
  <c r="D1821" i="4"/>
  <c r="C1821" i="4"/>
  <c r="H1821" i="4"/>
  <c r="F1821" i="4"/>
  <c r="B1821" i="4"/>
  <c r="G1821" i="4"/>
  <c r="A1822" i="4" s="1"/>
  <c r="H1822" i="4" l="1"/>
  <c r="G1822" i="4"/>
  <c r="A1823" i="4" s="1"/>
  <c r="F1822" i="4"/>
  <c r="D1822" i="4"/>
  <c r="E1822" i="4"/>
  <c r="C1822" i="4"/>
  <c r="B1822" i="4"/>
  <c r="B1823" i="4" l="1"/>
  <c r="H1823" i="4"/>
  <c r="G1823" i="4"/>
  <c r="A1824" i="4" s="1"/>
  <c r="F1823" i="4"/>
  <c r="E1823" i="4"/>
  <c r="D1823" i="4"/>
  <c r="C1823" i="4"/>
  <c r="H1824" i="4" l="1"/>
  <c r="G1824" i="4"/>
  <c r="A1825" i="4" s="1"/>
  <c r="B1824" i="4"/>
  <c r="D1824" i="4"/>
  <c r="F1824" i="4"/>
  <c r="E1824" i="4"/>
  <c r="C1824" i="4"/>
  <c r="H1825" i="4" l="1"/>
  <c r="B1825" i="4"/>
  <c r="C1825" i="4"/>
  <c r="G1825" i="4"/>
  <c r="A1826" i="4" s="1"/>
  <c r="F1825" i="4"/>
  <c r="E1825" i="4"/>
  <c r="D1825" i="4"/>
  <c r="C1826" i="4" l="1"/>
  <c r="G1826" i="4"/>
  <c r="A1827" i="4" s="1"/>
  <c r="H1826" i="4"/>
  <c r="F1826" i="4"/>
  <c r="D1826" i="4"/>
  <c r="B1826" i="4"/>
  <c r="E1826" i="4"/>
  <c r="F1827" i="4" l="1"/>
  <c r="B1827" i="4"/>
  <c r="H1827" i="4"/>
  <c r="G1827" i="4"/>
  <c r="A1828" i="4" s="1"/>
  <c r="E1827" i="4"/>
  <c r="D1827" i="4"/>
  <c r="C1827" i="4"/>
  <c r="F1828" i="4" l="1"/>
  <c r="E1828" i="4"/>
  <c r="D1828" i="4"/>
  <c r="H1828" i="4"/>
  <c r="G1828" i="4"/>
  <c r="A1829" i="4" s="1"/>
  <c r="C1828" i="4"/>
  <c r="B1828" i="4"/>
  <c r="B1829" i="4" l="1"/>
  <c r="F1829" i="4"/>
  <c r="H1829" i="4"/>
  <c r="D1829" i="4"/>
  <c r="E1829" i="4"/>
  <c r="C1829" i="4"/>
  <c r="G1829" i="4"/>
  <c r="A1830" i="4" s="1"/>
  <c r="G1830" i="4" l="1"/>
  <c r="A1831" i="4" s="1"/>
  <c r="F1830" i="4"/>
  <c r="H1830" i="4"/>
  <c r="E1830" i="4"/>
  <c r="D1830" i="4"/>
  <c r="C1830" i="4"/>
  <c r="B1830" i="4"/>
  <c r="H1831" i="4" l="1"/>
  <c r="C1831" i="4"/>
  <c r="D1831" i="4"/>
  <c r="G1831" i="4"/>
  <c r="A1832" i="4" s="1"/>
  <c r="F1831" i="4"/>
  <c r="E1831" i="4"/>
  <c r="B1831" i="4"/>
  <c r="C1832" i="4" l="1"/>
  <c r="B1832" i="4"/>
  <c r="D1832" i="4"/>
  <c r="H1832" i="4"/>
  <c r="G1832" i="4"/>
  <c r="A1833" i="4" s="1"/>
  <c r="E1832" i="4"/>
  <c r="F1832" i="4"/>
  <c r="G1833" i="4" l="1"/>
  <c r="A1834" i="4" s="1"/>
  <c r="D1833" i="4"/>
  <c r="C1833" i="4"/>
  <c r="B1833" i="4"/>
  <c r="H1833" i="4"/>
  <c r="F1833" i="4"/>
  <c r="E1833" i="4"/>
  <c r="G1834" i="4" l="1"/>
  <c r="A1835" i="4" s="1"/>
  <c r="C1834" i="4"/>
  <c r="D1834" i="4"/>
  <c r="B1834" i="4"/>
  <c r="H1834" i="4"/>
  <c r="F1834" i="4"/>
  <c r="E1834" i="4"/>
  <c r="E1835" i="4" l="1"/>
  <c r="D1835" i="4"/>
  <c r="C1835" i="4"/>
  <c r="H1835" i="4"/>
  <c r="G1835" i="4"/>
  <c r="A1836" i="4" s="1"/>
  <c r="F1835" i="4"/>
  <c r="B1835" i="4"/>
  <c r="E1836" i="4" l="1"/>
  <c r="B1836" i="4"/>
  <c r="D1836" i="4"/>
  <c r="H1836" i="4"/>
  <c r="F1836" i="4"/>
  <c r="C1836" i="4"/>
  <c r="G1836" i="4"/>
  <c r="A1837" i="4" s="1"/>
  <c r="H1837" i="4" l="1"/>
  <c r="G1837" i="4"/>
  <c r="A1838" i="4" s="1"/>
  <c r="E1837" i="4"/>
  <c r="D1837" i="4"/>
  <c r="F1837" i="4"/>
  <c r="C1837" i="4"/>
  <c r="B1837" i="4"/>
  <c r="F1838" i="4" l="1"/>
  <c r="E1838" i="4"/>
  <c r="D1838" i="4"/>
  <c r="G1838" i="4"/>
  <c r="A1839" i="4" s="1"/>
  <c r="C1838" i="4"/>
  <c r="H1838" i="4"/>
  <c r="B1838" i="4"/>
  <c r="F1839" i="4" l="1"/>
  <c r="E1839" i="4"/>
  <c r="D1839" i="4"/>
  <c r="H1839" i="4"/>
  <c r="B1839" i="4"/>
  <c r="G1839" i="4"/>
  <c r="A1840" i="4" s="1"/>
  <c r="C1839" i="4"/>
  <c r="B1840" i="4" l="1"/>
  <c r="E1840" i="4"/>
  <c r="H1840" i="4"/>
  <c r="G1840" i="4"/>
  <c r="A1841" i="4" s="1"/>
  <c r="F1840" i="4"/>
  <c r="D1840" i="4"/>
  <c r="C1840" i="4"/>
  <c r="G1841" i="4" l="1"/>
  <c r="A1842" i="4" s="1"/>
  <c r="F1841" i="4"/>
  <c r="E1841" i="4"/>
  <c r="C1841" i="4"/>
  <c r="H1841" i="4"/>
  <c r="D1841" i="4"/>
  <c r="B1841" i="4"/>
  <c r="D1842" i="4" l="1"/>
  <c r="G1842" i="4"/>
  <c r="A1843" i="4" s="1"/>
  <c r="F1842" i="4"/>
  <c r="H1842" i="4"/>
  <c r="E1842" i="4"/>
  <c r="C1842" i="4"/>
  <c r="B1842" i="4"/>
  <c r="F1843" i="4" l="1"/>
  <c r="D1843" i="4"/>
  <c r="C1843" i="4"/>
  <c r="B1843" i="4"/>
  <c r="G1843" i="4"/>
  <c r="A1844" i="4" s="1"/>
  <c r="H1843" i="4"/>
  <c r="E1843" i="4"/>
  <c r="H1844" i="4" l="1"/>
  <c r="G1844" i="4"/>
  <c r="A1845" i="4" s="1"/>
  <c r="F1844" i="4"/>
  <c r="C1844" i="4"/>
  <c r="B1844" i="4"/>
  <c r="E1844" i="4"/>
  <c r="D1844" i="4"/>
  <c r="H1845" i="4" l="1"/>
  <c r="G1845" i="4"/>
  <c r="A1846" i="4" s="1"/>
  <c r="F1845" i="4"/>
  <c r="E1845" i="4"/>
  <c r="D1845" i="4"/>
  <c r="C1845" i="4"/>
  <c r="B1845" i="4"/>
  <c r="H1846" i="4" l="1"/>
  <c r="G1846" i="4"/>
  <c r="A1847" i="4" s="1"/>
  <c r="B1846" i="4"/>
  <c r="E1846" i="4"/>
  <c r="F1846" i="4"/>
  <c r="D1846" i="4"/>
  <c r="C1846" i="4"/>
  <c r="H1847" i="4" l="1"/>
  <c r="G1847" i="4"/>
  <c r="A1848" i="4" s="1"/>
  <c r="B1847" i="4"/>
  <c r="F1847" i="4"/>
  <c r="E1847" i="4"/>
  <c r="D1847" i="4"/>
  <c r="C1847" i="4"/>
  <c r="G1848" i="4" l="1"/>
  <c r="A1849" i="4" s="1"/>
  <c r="E1848" i="4"/>
  <c r="F1848" i="4"/>
  <c r="D1848" i="4"/>
  <c r="H1848" i="4"/>
  <c r="C1848" i="4"/>
  <c r="B1848" i="4"/>
  <c r="G1849" i="4" l="1"/>
  <c r="A1850" i="4" s="1"/>
  <c r="C1849" i="4"/>
  <c r="B1849" i="4"/>
  <c r="H1849" i="4"/>
  <c r="F1849" i="4"/>
  <c r="E1849" i="4"/>
  <c r="D1849" i="4"/>
  <c r="H1850" i="4" l="1"/>
  <c r="F1850" i="4"/>
  <c r="G1850" i="4"/>
  <c r="A1851" i="4" s="1"/>
  <c r="E1850" i="4"/>
  <c r="D1850" i="4"/>
  <c r="C1850" i="4"/>
  <c r="B1850" i="4"/>
  <c r="G1851" i="4" l="1"/>
  <c r="A1852" i="4" s="1"/>
  <c r="B1851" i="4"/>
  <c r="H1851" i="4"/>
  <c r="F1851" i="4"/>
  <c r="E1851" i="4"/>
  <c r="D1851" i="4"/>
  <c r="C1851" i="4"/>
  <c r="C1852" i="4" l="1"/>
  <c r="E1852" i="4"/>
  <c r="D1852" i="4"/>
  <c r="B1852" i="4"/>
  <c r="H1852" i="4"/>
  <c r="G1852" i="4"/>
  <c r="A1853" i="4" s="1"/>
  <c r="F1852" i="4"/>
  <c r="E1853" i="4" l="1"/>
  <c r="F1853" i="4"/>
  <c r="B1853" i="4"/>
  <c r="H1853" i="4"/>
  <c r="C1853" i="4"/>
  <c r="G1853" i="4"/>
  <c r="A1854" i="4" s="1"/>
  <c r="D1853" i="4"/>
  <c r="H1854" i="4" l="1"/>
  <c r="D1854" i="4"/>
  <c r="C1854" i="4"/>
  <c r="B1854" i="4"/>
  <c r="F1854" i="4"/>
  <c r="G1854" i="4"/>
  <c r="A1855" i="4" s="1"/>
  <c r="E1854" i="4"/>
  <c r="B1855" i="4" l="1"/>
  <c r="H1855" i="4"/>
  <c r="G1855" i="4"/>
  <c r="A1856" i="4" s="1"/>
  <c r="F1855" i="4"/>
  <c r="E1855" i="4"/>
  <c r="C1855" i="4"/>
  <c r="D1855" i="4"/>
  <c r="H1856" i="4" l="1"/>
  <c r="G1856" i="4"/>
  <c r="A1857" i="4" s="1"/>
  <c r="F1856" i="4"/>
  <c r="E1856" i="4"/>
  <c r="D1856" i="4"/>
  <c r="C1856" i="4"/>
  <c r="B1856" i="4"/>
  <c r="F1857" i="4" l="1"/>
  <c r="E1857" i="4"/>
  <c r="D1857" i="4"/>
  <c r="C1857" i="4"/>
  <c r="H1857" i="4"/>
  <c r="G1857" i="4"/>
  <c r="A1858" i="4" s="1"/>
  <c r="B1857" i="4"/>
  <c r="B1858" i="4" l="1"/>
  <c r="E1858" i="4"/>
  <c r="H1858" i="4"/>
  <c r="G1858" i="4"/>
  <c r="A1859" i="4" s="1"/>
  <c r="F1858" i="4"/>
  <c r="D1858" i="4"/>
  <c r="C1858" i="4"/>
  <c r="E1859" i="4" l="1"/>
  <c r="B1859" i="4"/>
  <c r="H1859" i="4"/>
  <c r="G1859" i="4"/>
  <c r="A1860" i="4" s="1"/>
  <c r="F1859" i="4"/>
  <c r="D1859" i="4"/>
  <c r="C1859" i="4"/>
  <c r="H1860" i="4" l="1"/>
  <c r="G1860" i="4"/>
  <c r="A1861" i="4" s="1"/>
  <c r="F1860" i="4"/>
  <c r="E1860" i="4"/>
  <c r="D1860" i="4"/>
  <c r="B1860" i="4"/>
  <c r="C1860" i="4"/>
  <c r="C1861" i="4" l="1"/>
  <c r="F1861" i="4"/>
  <c r="E1861" i="4"/>
  <c r="D1861" i="4"/>
  <c r="B1861" i="4"/>
  <c r="H1861" i="4"/>
  <c r="G1861" i="4"/>
  <c r="A1862" i="4" s="1"/>
  <c r="B1862" i="4" l="1"/>
  <c r="F1862" i="4"/>
  <c r="E1862" i="4"/>
  <c r="D1862" i="4"/>
  <c r="H1862" i="4"/>
  <c r="G1862" i="4"/>
  <c r="A1863" i="4" s="1"/>
  <c r="C1862" i="4"/>
  <c r="H1863" i="4" l="1"/>
  <c r="C1863" i="4"/>
  <c r="F1863" i="4"/>
  <c r="B1863" i="4"/>
  <c r="G1863" i="4"/>
  <c r="A1864" i="4" s="1"/>
  <c r="E1863" i="4"/>
  <c r="D1863" i="4"/>
  <c r="D1864" i="4" l="1"/>
  <c r="C1864" i="4"/>
  <c r="B1864" i="4"/>
  <c r="F1864" i="4"/>
  <c r="H1864" i="4"/>
  <c r="G1864" i="4"/>
  <c r="A1865" i="4" s="1"/>
  <c r="E1864" i="4"/>
  <c r="G1865" i="4" l="1"/>
  <c r="A1866" i="4" s="1"/>
  <c r="D1865" i="4"/>
  <c r="H1865" i="4"/>
  <c r="F1865" i="4"/>
  <c r="E1865" i="4"/>
  <c r="C1865" i="4"/>
  <c r="B1865" i="4"/>
  <c r="D1866" i="4" l="1"/>
  <c r="C1866" i="4"/>
  <c r="B1866" i="4"/>
  <c r="H1866" i="4"/>
  <c r="G1866" i="4"/>
  <c r="A1867" i="4" s="1"/>
  <c r="F1866" i="4"/>
  <c r="E1866" i="4"/>
  <c r="E1867" i="4" l="1"/>
  <c r="F1867" i="4"/>
  <c r="D1867" i="4"/>
  <c r="C1867" i="4"/>
  <c r="G1867" i="4"/>
  <c r="A1868" i="4" s="1"/>
  <c r="B1867" i="4"/>
  <c r="H1867" i="4"/>
  <c r="B1868" i="4" l="1"/>
  <c r="G1868" i="4"/>
  <c r="A1869" i="4" s="1"/>
  <c r="F1868" i="4"/>
  <c r="H1868" i="4"/>
  <c r="E1868" i="4"/>
  <c r="D1868" i="4"/>
  <c r="C1868" i="4"/>
  <c r="G1869" i="4" l="1"/>
  <c r="A1870" i="4" s="1"/>
  <c r="D1869" i="4"/>
  <c r="B1869" i="4"/>
  <c r="C1869" i="4"/>
  <c r="F1869" i="4"/>
  <c r="H1869" i="4"/>
  <c r="E1869" i="4"/>
  <c r="F1870" i="4" l="1"/>
  <c r="H1870" i="4"/>
  <c r="G1870" i="4"/>
  <c r="A1871" i="4" s="1"/>
  <c r="E1870" i="4"/>
  <c r="D1870" i="4"/>
  <c r="C1870" i="4"/>
  <c r="B1870" i="4"/>
  <c r="H1871" i="4" l="1"/>
  <c r="G1871" i="4"/>
  <c r="A1872" i="4" s="1"/>
  <c r="F1871" i="4"/>
  <c r="E1871" i="4"/>
  <c r="D1871" i="4"/>
  <c r="C1871" i="4"/>
  <c r="B1871" i="4"/>
  <c r="E1872" i="4" l="1"/>
  <c r="B1872" i="4"/>
  <c r="H1872" i="4"/>
  <c r="G1872" i="4"/>
  <c r="A1873" i="4" s="1"/>
  <c r="F1872" i="4"/>
  <c r="D1872" i="4"/>
  <c r="C1872" i="4"/>
  <c r="G1873" i="4" l="1"/>
  <c r="A1874" i="4" s="1"/>
  <c r="H1873" i="4"/>
  <c r="E1873" i="4"/>
  <c r="B1873" i="4"/>
  <c r="C1873" i="4"/>
  <c r="F1873" i="4"/>
  <c r="D1873" i="4"/>
  <c r="B1874" i="4" l="1"/>
  <c r="G1874" i="4"/>
  <c r="A1875" i="4" s="1"/>
  <c r="F1874" i="4"/>
  <c r="E1874" i="4"/>
  <c r="D1874" i="4"/>
  <c r="H1874" i="4"/>
  <c r="C1874" i="4"/>
  <c r="B1875" i="4" l="1"/>
  <c r="D1875" i="4"/>
  <c r="C1875" i="4"/>
  <c r="H1875" i="4"/>
  <c r="G1875" i="4"/>
  <c r="A1876" i="4" s="1"/>
  <c r="F1875" i="4"/>
  <c r="E1875" i="4"/>
  <c r="H1876" i="4" l="1"/>
  <c r="G1876" i="4"/>
  <c r="A1877" i="4" s="1"/>
  <c r="F1876" i="4"/>
  <c r="E1876" i="4"/>
  <c r="D1876" i="4"/>
  <c r="C1876" i="4"/>
  <c r="B1876" i="4"/>
  <c r="D1877" i="4" l="1"/>
  <c r="C1877" i="4"/>
  <c r="B1877" i="4"/>
  <c r="F1877" i="4"/>
  <c r="G1877" i="4"/>
  <c r="A1878" i="4" s="1"/>
  <c r="H1877" i="4"/>
  <c r="E1877" i="4"/>
  <c r="F1878" i="4" l="1"/>
  <c r="E1878" i="4"/>
  <c r="D1878" i="4"/>
  <c r="H1878" i="4"/>
  <c r="G1878" i="4"/>
  <c r="A1879" i="4" s="1"/>
  <c r="B1878" i="4"/>
  <c r="C1878" i="4"/>
  <c r="H1879" i="4" l="1"/>
  <c r="E1879" i="4"/>
  <c r="D1879" i="4"/>
  <c r="C1879" i="4"/>
  <c r="B1879" i="4"/>
  <c r="G1879" i="4"/>
  <c r="A1880" i="4" s="1"/>
  <c r="F1879" i="4"/>
  <c r="F1880" i="4" l="1"/>
  <c r="E1880" i="4"/>
  <c r="D1880" i="4"/>
  <c r="H1880" i="4"/>
  <c r="C1880" i="4"/>
  <c r="G1880" i="4"/>
  <c r="A1881" i="4" s="1"/>
  <c r="B1880" i="4"/>
  <c r="C1881" i="4" l="1"/>
  <c r="F1881" i="4"/>
  <c r="H1881" i="4"/>
  <c r="G1881" i="4"/>
  <c r="A1882" i="4" s="1"/>
  <c r="E1881" i="4"/>
  <c r="D1881" i="4"/>
  <c r="B1881" i="4"/>
  <c r="F1882" i="4" l="1"/>
  <c r="E1882" i="4"/>
  <c r="D1882" i="4"/>
  <c r="G1882" i="4"/>
  <c r="A1883" i="4" s="1"/>
  <c r="H1882" i="4"/>
  <c r="C1882" i="4"/>
  <c r="B1882" i="4"/>
  <c r="B1883" i="4" l="1"/>
  <c r="H1883" i="4"/>
  <c r="G1883" i="4"/>
  <c r="A1884" i="4" s="1"/>
  <c r="F1883" i="4"/>
  <c r="E1883" i="4"/>
  <c r="D1883" i="4"/>
  <c r="C1883" i="4"/>
  <c r="H1884" i="4" l="1"/>
  <c r="E1884" i="4"/>
  <c r="G1884" i="4"/>
  <c r="A1885" i="4" s="1"/>
  <c r="F1884" i="4"/>
  <c r="D1884" i="4"/>
  <c r="B1884" i="4"/>
  <c r="C1884" i="4"/>
  <c r="B1885" i="4" l="1"/>
  <c r="G1885" i="4"/>
  <c r="A1886" i="4" s="1"/>
  <c r="E1885" i="4"/>
  <c r="F1885" i="4"/>
  <c r="D1885" i="4"/>
  <c r="C1885" i="4"/>
  <c r="H1885" i="4"/>
  <c r="C1886" i="4" l="1"/>
  <c r="H1886" i="4"/>
  <c r="G1886" i="4"/>
  <c r="A1887" i="4" s="1"/>
  <c r="F1886" i="4"/>
  <c r="E1886" i="4"/>
  <c r="B1886" i="4"/>
  <c r="D1886" i="4"/>
  <c r="B1887" i="4" l="1"/>
  <c r="G1887" i="4"/>
  <c r="A1888" i="4" s="1"/>
  <c r="D1887" i="4"/>
  <c r="H1887" i="4"/>
  <c r="F1887" i="4"/>
  <c r="E1887" i="4"/>
  <c r="C1887" i="4"/>
  <c r="G1888" i="4" l="1"/>
  <c r="A1889" i="4" s="1"/>
  <c r="F1888" i="4"/>
  <c r="C1888" i="4"/>
  <c r="H1888" i="4"/>
  <c r="E1888" i="4"/>
  <c r="D1888" i="4"/>
  <c r="B1888" i="4"/>
  <c r="G1889" i="4" l="1"/>
  <c r="A1890" i="4" s="1"/>
  <c r="D1889" i="4"/>
  <c r="H1889" i="4"/>
  <c r="F1889" i="4"/>
  <c r="E1889" i="4"/>
  <c r="C1889" i="4"/>
  <c r="B1889" i="4"/>
  <c r="E1890" i="4" l="1"/>
  <c r="D1890" i="4"/>
  <c r="C1890" i="4"/>
  <c r="F1890" i="4"/>
  <c r="H1890" i="4"/>
  <c r="B1890" i="4"/>
  <c r="G1890" i="4"/>
  <c r="A1891" i="4" s="1"/>
  <c r="B1891" i="4" l="1"/>
  <c r="D1891" i="4"/>
  <c r="C1891" i="4"/>
  <c r="E1891" i="4"/>
  <c r="H1891" i="4"/>
  <c r="G1891" i="4"/>
  <c r="A1892" i="4" s="1"/>
  <c r="F1891" i="4"/>
  <c r="G1892" i="4" l="1"/>
  <c r="A1893" i="4" s="1"/>
  <c r="F1892" i="4"/>
  <c r="E1892" i="4"/>
  <c r="D1892" i="4"/>
  <c r="C1892" i="4"/>
  <c r="B1892" i="4"/>
  <c r="H1892" i="4"/>
  <c r="H1893" i="4" l="1"/>
  <c r="G1893" i="4"/>
  <c r="A1894" i="4" s="1"/>
  <c r="F1893" i="4"/>
  <c r="B1893" i="4"/>
  <c r="D1893" i="4"/>
  <c r="C1893" i="4"/>
  <c r="E1893" i="4"/>
  <c r="C1894" i="4" l="1"/>
  <c r="F1894" i="4"/>
  <c r="H1894" i="4"/>
  <c r="G1894" i="4"/>
  <c r="A1895" i="4" s="1"/>
  <c r="E1894" i="4"/>
  <c r="D1894" i="4"/>
  <c r="B1894" i="4"/>
  <c r="G1895" i="4" l="1"/>
  <c r="A1896" i="4" s="1"/>
  <c r="H1895" i="4"/>
  <c r="E1895" i="4"/>
  <c r="D1895" i="4"/>
  <c r="C1895" i="4"/>
  <c r="F1895" i="4"/>
  <c r="B1895" i="4"/>
  <c r="E1896" i="4" l="1"/>
  <c r="D1896" i="4"/>
  <c r="F1896" i="4"/>
  <c r="H1896" i="4"/>
  <c r="G1896" i="4"/>
  <c r="A1897" i="4" s="1"/>
  <c r="C1896" i="4"/>
  <c r="B1896" i="4"/>
  <c r="D1897" i="4" l="1"/>
  <c r="C1897" i="4"/>
  <c r="B1897" i="4"/>
  <c r="H1897" i="4"/>
  <c r="E1897" i="4"/>
  <c r="F1897" i="4"/>
  <c r="G1897" i="4"/>
  <c r="A1898" i="4" s="1"/>
  <c r="G1898" i="4" l="1"/>
  <c r="A1899" i="4" s="1"/>
  <c r="H1898" i="4"/>
  <c r="C1898" i="4"/>
  <c r="F1898" i="4"/>
  <c r="E1898" i="4"/>
  <c r="D1898" i="4"/>
  <c r="B1898" i="4"/>
  <c r="C1899" i="4" l="1"/>
  <c r="G1899" i="4"/>
  <c r="A1900" i="4" s="1"/>
  <c r="H1899" i="4"/>
  <c r="F1899" i="4"/>
  <c r="E1899" i="4"/>
  <c r="D1899" i="4"/>
  <c r="B1899" i="4"/>
  <c r="E1900" i="4" l="1"/>
  <c r="G1900" i="4"/>
  <c r="A1901" i="4" s="1"/>
  <c r="F1900" i="4"/>
  <c r="D1900" i="4"/>
  <c r="C1900" i="4"/>
  <c r="B1900" i="4"/>
  <c r="H1900" i="4"/>
  <c r="G1901" i="4" l="1"/>
  <c r="A1902" i="4" s="1"/>
  <c r="F1901" i="4"/>
  <c r="E1901" i="4"/>
  <c r="D1901" i="4"/>
  <c r="C1901" i="4"/>
  <c r="B1901" i="4"/>
  <c r="H1901" i="4"/>
  <c r="E1902" i="4" l="1"/>
  <c r="G1902" i="4"/>
  <c r="A1903" i="4" s="1"/>
  <c r="F1902" i="4"/>
  <c r="B1902" i="4"/>
  <c r="H1902" i="4"/>
  <c r="D1902" i="4"/>
  <c r="C1902" i="4"/>
  <c r="F1903" i="4" l="1"/>
  <c r="H1903" i="4"/>
  <c r="E1903" i="4"/>
  <c r="B1903" i="4"/>
  <c r="C1903" i="4"/>
  <c r="G1903" i="4"/>
  <c r="A1904" i="4" s="1"/>
  <c r="D1903" i="4"/>
  <c r="G1904" i="4" l="1"/>
  <c r="A1905" i="4" s="1"/>
  <c r="B1904" i="4"/>
  <c r="E1904" i="4"/>
  <c r="D1904" i="4"/>
  <c r="H1904" i="4"/>
  <c r="F1904" i="4"/>
  <c r="C1904" i="4"/>
  <c r="G1905" i="4" l="1"/>
  <c r="A1906" i="4" s="1"/>
  <c r="F1905" i="4"/>
  <c r="H1905" i="4"/>
  <c r="E1905" i="4"/>
  <c r="D1905" i="4"/>
  <c r="C1905" i="4"/>
  <c r="B1905" i="4"/>
  <c r="G1906" i="4" l="1"/>
  <c r="A1907" i="4" s="1"/>
  <c r="H1906" i="4"/>
  <c r="F1906" i="4"/>
  <c r="E1906" i="4"/>
  <c r="D1906" i="4"/>
  <c r="C1906" i="4"/>
  <c r="B1906" i="4"/>
  <c r="G1907" i="4" l="1"/>
  <c r="A1908" i="4" s="1"/>
  <c r="E1907" i="4"/>
  <c r="D1907" i="4"/>
  <c r="C1907" i="4"/>
  <c r="H1907" i="4"/>
  <c r="F1907" i="4"/>
  <c r="B1907" i="4"/>
  <c r="D1908" i="4" l="1"/>
  <c r="C1908" i="4"/>
  <c r="H1908" i="4"/>
  <c r="E1908" i="4"/>
  <c r="G1908" i="4"/>
  <c r="A1909" i="4" s="1"/>
  <c r="F1908" i="4"/>
  <c r="B1908" i="4"/>
  <c r="H1909" i="4" l="1"/>
  <c r="C1909" i="4"/>
  <c r="B1909" i="4"/>
  <c r="D1909" i="4"/>
  <c r="G1909" i="4"/>
  <c r="A1910" i="4" s="1"/>
  <c r="F1909" i="4"/>
  <c r="E1909" i="4"/>
  <c r="G1910" i="4" l="1"/>
  <c r="A1911" i="4" s="1"/>
  <c r="H1910" i="4"/>
  <c r="F1910" i="4"/>
  <c r="D1910" i="4"/>
  <c r="C1910" i="4"/>
  <c r="E1910" i="4"/>
  <c r="B1910" i="4"/>
  <c r="F1911" i="4" l="1"/>
  <c r="E1911" i="4"/>
  <c r="H1911" i="4"/>
  <c r="G1911" i="4"/>
  <c r="A1912" i="4" s="1"/>
  <c r="D1911" i="4"/>
  <c r="C1911" i="4"/>
  <c r="B1911" i="4"/>
  <c r="C1912" i="4" l="1"/>
  <c r="B1912" i="4"/>
  <c r="E1912" i="4"/>
  <c r="H1912" i="4"/>
  <c r="G1912" i="4"/>
  <c r="A1913" i="4" s="1"/>
  <c r="F1912" i="4"/>
  <c r="D1912" i="4"/>
  <c r="G1913" i="4" l="1"/>
  <c r="A1914" i="4" s="1"/>
  <c r="E1913" i="4"/>
  <c r="D1913" i="4"/>
  <c r="C1913" i="4"/>
  <c r="H1913" i="4"/>
  <c r="F1913" i="4"/>
  <c r="B1913" i="4"/>
  <c r="D1914" i="4" l="1"/>
  <c r="C1914" i="4"/>
  <c r="B1914" i="4"/>
  <c r="F1914" i="4"/>
  <c r="E1914" i="4"/>
  <c r="H1914" i="4"/>
  <c r="G1914" i="4"/>
  <c r="A1915" i="4" s="1"/>
  <c r="E1915" i="4" l="1"/>
  <c r="H1915" i="4"/>
  <c r="D1915" i="4"/>
  <c r="G1915" i="4"/>
  <c r="A1916" i="4" s="1"/>
  <c r="F1915" i="4"/>
  <c r="C1915" i="4"/>
  <c r="B1915" i="4"/>
  <c r="G1916" i="4" l="1"/>
  <c r="A1917" i="4" s="1"/>
  <c r="B1916" i="4"/>
  <c r="H1916" i="4"/>
  <c r="F1916" i="4"/>
  <c r="E1916" i="4"/>
  <c r="D1916" i="4"/>
  <c r="C1916" i="4"/>
  <c r="G1917" i="4" l="1"/>
  <c r="A1918" i="4" s="1"/>
  <c r="F1917" i="4"/>
  <c r="E1917" i="4"/>
  <c r="H1917" i="4"/>
  <c r="D1917" i="4"/>
  <c r="C1917" i="4"/>
  <c r="B1917" i="4"/>
  <c r="G1918" i="4" l="1"/>
  <c r="A1919" i="4" s="1"/>
  <c r="B1918" i="4"/>
  <c r="D1918" i="4"/>
  <c r="H1918" i="4"/>
  <c r="F1918" i="4"/>
  <c r="E1918" i="4"/>
  <c r="C1918" i="4"/>
  <c r="G1919" i="4" l="1"/>
  <c r="A1920" i="4" s="1"/>
  <c r="C1919" i="4"/>
  <c r="H1919" i="4"/>
  <c r="D1919" i="4"/>
  <c r="F1919" i="4"/>
  <c r="E1919" i="4"/>
  <c r="B1919" i="4"/>
  <c r="H1920" i="4" l="1"/>
  <c r="G1920" i="4"/>
  <c r="A1921" i="4" s="1"/>
  <c r="D1920" i="4"/>
  <c r="F1920" i="4"/>
  <c r="E1920" i="4"/>
  <c r="C1920" i="4"/>
  <c r="B1920" i="4"/>
  <c r="B1921" i="4" l="1"/>
  <c r="D1921" i="4"/>
  <c r="F1921" i="4"/>
  <c r="E1921" i="4"/>
  <c r="C1921" i="4"/>
  <c r="H1921" i="4"/>
  <c r="G1921" i="4"/>
  <c r="A1922" i="4" s="1"/>
  <c r="G1922" i="4" l="1"/>
  <c r="A1923" i="4" s="1"/>
  <c r="D1922" i="4"/>
  <c r="E1922" i="4"/>
  <c r="C1922" i="4"/>
  <c r="B1922" i="4"/>
  <c r="H1922" i="4"/>
  <c r="F1922" i="4"/>
  <c r="G1923" i="4" l="1"/>
  <c r="A1924" i="4" s="1"/>
  <c r="F1923" i="4"/>
  <c r="C1923" i="4"/>
  <c r="H1923" i="4"/>
  <c r="D1923" i="4"/>
  <c r="B1923" i="4"/>
  <c r="E1923" i="4"/>
  <c r="E1924" i="4" l="1"/>
  <c r="D1924" i="4"/>
  <c r="C1924" i="4"/>
  <c r="H1924" i="4"/>
  <c r="F1924" i="4"/>
  <c r="G1924" i="4"/>
  <c r="A1925" i="4" s="1"/>
  <c r="B1924" i="4"/>
  <c r="G1925" i="4" l="1"/>
  <c r="A1926" i="4" s="1"/>
  <c r="E1925" i="4"/>
  <c r="C1925" i="4"/>
  <c r="H1925" i="4"/>
  <c r="B1925" i="4"/>
  <c r="F1925" i="4"/>
  <c r="D1925" i="4"/>
  <c r="G1926" i="4" l="1"/>
  <c r="A1927" i="4" s="1"/>
  <c r="F1926" i="4"/>
  <c r="E1926" i="4"/>
  <c r="C1926" i="4"/>
  <c r="B1926" i="4"/>
  <c r="H1926" i="4"/>
  <c r="D1926" i="4"/>
  <c r="H1927" i="4" l="1"/>
  <c r="G1927" i="4"/>
  <c r="A1928" i="4" s="1"/>
  <c r="F1927" i="4"/>
  <c r="E1927" i="4"/>
  <c r="D1927" i="4"/>
  <c r="B1927" i="4"/>
  <c r="C1927" i="4"/>
  <c r="G1928" i="4" l="1"/>
  <c r="A1929" i="4" s="1"/>
  <c r="F1928" i="4"/>
  <c r="E1928" i="4"/>
  <c r="H1928" i="4"/>
  <c r="D1928" i="4"/>
  <c r="C1928" i="4"/>
  <c r="B1928" i="4"/>
  <c r="H1929" i="4" l="1"/>
  <c r="F1929" i="4"/>
  <c r="G1929" i="4"/>
  <c r="A1930" i="4" s="1"/>
  <c r="E1929" i="4"/>
  <c r="D1929" i="4"/>
  <c r="C1929" i="4"/>
  <c r="B1929" i="4"/>
  <c r="G1930" i="4" l="1"/>
  <c r="A1931" i="4" s="1"/>
  <c r="H1930" i="4"/>
  <c r="F1930" i="4"/>
  <c r="B1930" i="4"/>
  <c r="E1930" i="4"/>
  <c r="D1930" i="4"/>
  <c r="C1930" i="4"/>
  <c r="G1931" i="4" l="1"/>
  <c r="A1932" i="4" s="1"/>
  <c r="H1931" i="4"/>
  <c r="C1931" i="4"/>
  <c r="B1931" i="4"/>
  <c r="F1931" i="4"/>
  <c r="E1931" i="4"/>
  <c r="D1931" i="4"/>
  <c r="G1932" i="4" l="1"/>
  <c r="A1933" i="4" s="1"/>
  <c r="D1932" i="4"/>
  <c r="H1932" i="4"/>
  <c r="F1932" i="4"/>
  <c r="E1932" i="4"/>
  <c r="C1932" i="4"/>
  <c r="B1932" i="4"/>
  <c r="B1933" i="4" l="1"/>
  <c r="C1933" i="4"/>
  <c r="H1933" i="4"/>
  <c r="G1933" i="4"/>
  <c r="A1934" i="4" s="1"/>
  <c r="F1933" i="4"/>
  <c r="E1933" i="4"/>
  <c r="D1933" i="4"/>
  <c r="G1934" i="4" l="1"/>
  <c r="A1935" i="4" s="1"/>
  <c r="F1934" i="4"/>
  <c r="E1934" i="4"/>
  <c r="D1934" i="4"/>
  <c r="B1934" i="4"/>
  <c r="H1934" i="4"/>
  <c r="C1934" i="4"/>
  <c r="C1935" i="4" l="1"/>
  <c r="G1935" i="4"/>
  <c r="A1936" i="4" s="1"/>
  <c r="F1935" i="4"/>
  <c r="B1935" i="4"/>
  <c r="H1935" i="4"/>
  <c r="E1935" i="4"/>
  <c r="D1935" i="4"/>
  <c r="B1936" i="4" l="1"/>
  <c r="C1936" i="4"/>
  <c r="G1936" i="4"/>
  <c r="A1937" i="4" s="1"/>
  <c r="F1936" i="4"/>
  <c r="E1936" i="4"/>
  <c r="H1936" i="4"/>
  <c r="D1936" i="4"/>
  <c r="G1937" i="4" l="1"/>
  <c r="A1938" i="4" s="1"/>
  <c r="H1937" i="4"/>
  <c r="F1937" i="4"/>
  <c r="E1937" i="4"/>
  <c r="D1937" i="4"/>
  <c r="C1937" i="4"/>
  <c r="B1937" i="4"/>
  <c r="B1938" i="4" l="1"/>
  <c r="E1938" i="4"/>
  <c r="C1938" i="4"/>
  <c r="H1938" i="4"/>
  <c r="D1938" i="4"/>
  <c r="G1938" i="4"/>
  <c r="A1939" i="4" s="1"/>
  <c r="F1938" i="4"/>
  <c r="E1939" i="4" l="1"/>
  <c r="D1939" i="4"/>
  <c r="B1939" i="4"/>
  <c r="H1939" i="4"/>
  <c r="G1939" i="4"/>
  <c r="A1940" i="4" s="1"/>
  <c r="F1939" i="4"/>
  <c r="C1939" i="4"/>
  <c r="G1940" i="4" l="1"/>
  <c r="A1941" i="4" s="1"/>
  <c r="C1940" i="4"/>
  <c r="B1940" i="4"/>
  <c r="H1940" i="4"/>
  <c r="E1940" i="4"/>
  <c r="F1940" i="4"/>
  <c r="D1940" i="4"/>
  <c r="C1941" i="4" l="1"/>
  <c r="G1941" i="4"/>
  <c r="A1942" i="4" s="1"/>
  <c r="F1941" i="4"/>
  <c r="E1941" i="4"/>
  <c r="D1941" i="4"/>
  <c r="H1941" i="4"/>
  <c r="B1941" i="4"/>
  <c r="G1942" i="4" l="1"/>
  <c r="A1943" i="4" s="1"/>
  <c r="D1942" i="4"/>
  <c r="C1942" i="4"/>
  <c r="B1942" i="4"/>
  <c r="H1942" i="4"/>
  <c r="F1942" i="4"/>
  <c r="E1942" i="4"/>
  <c r="G1943" i="4" l="1"/>
  <c r="A1944" i="4" s="1"/>
  <c r="C1943" i="4"/>
  <c r="B1943" i="4"/>
  <c r="E1943" i="4"/>
  <c r="F1943" i="4"/>
  <c r="D1943" i="4"/>
  <c r="H1943" i="4"/>
  <c r="D1944" i="4" l="1"/>
  <c r="H1944" i="4"/>
  <c r="G1944" i="4"/>
  <c r="A1945" i="4" s="1"/>
  <c r="F1944" i="4"/>
  <c r="E1944" i="4"/>
  <c r="C1944" i="4"/>
  <c r="B1944" i="4"/>
  <c r="B1945" i="4" l="1"/>
  <c r="H1945" i="4"/>
  <c r="E1945" i="4"/>
  <c r="D1945" i="4"/>
  <c r="G1945" i="4"/>
  <c r="A1946" i="4" s="1"/>
  <c r="F1945" i="4"/>
  <c r="C1945" i="4"/>
  <c r="G1946" i="4" l="1"/>
  <c r="A1947" i="4" s="1"/>
  <c r="E1946" i="4"/>
  <c r="C1946" i="4"/>
  <c r="B1946" i="4"/>
  <c r="H1946" i="4"/>
  <c r="F1946" i="4"/>
  <c r="D1946" i="4"/>
  <c r="E1947" i="4" l="1"/>
  <c r="B1947" i="4"/>
  <c r="H1947" i="4"/>
  <c r="C1947" i="4"/>
  <c r="G1947" i="4"/>
  <c r="A1948" i="4" s="1"/>
  <c r="F1947" i="4"/>
  <c r="D1947" i="4"/>
  <c r="C1948" i="4" l="1"/>
  <c r="E1948" i="4"/>
  <c r="D1948" i="4"/>
  <c r="B1948" i="4"/>
  <c r="H1948" i="4"/>
  <c r="G1948" i="4"/>
  <c r="A1949" i="4" s="1"/>
  <c r="F1948" i="4"/>
  <c r="G1949" i="4" l="1"/>
  <c r="A1950" i="4" s="1"/>
  <c r="C1949" i="4"/>
  <c r="B1949" i="4"/>
  <c r="H1949" i="4"/>
  <c r="F1949" i="4"/>
  <c r="E1949" i="4"/>
  <c r="D1949" i="4"/>
  <c r="G1950" i="4" l="1"/>
  <c r="A1951" i="4" s="1"/>
  <c r="F1950" i="4"/>
  <c r="D1950" i="4"/>
  <c r="C1950" i="4"/>
  <c r="E1950" i="4"/>
  <c r="H1950" i="4"/>
  <c r="B1950" i="4"/>
  <c r="F1951" i="4" l="1"/>
  <c r="H1951" i="4"/>
  <c r="G1951" i="4"/>
  <c r="A1952" i="4" s="1"/>
  <c r="B1951" i="4"/>
  <c r="E1951" i="4"/>
  <c r="C1951" i="4"/>
  <c r="D1951" i="4"/>
  <c r="G1952" i="4" l="1"/>
  <c r="A1953" i="4" s="1"/>
  <c r="F1952" i="4"/>
  <c r="B1952" i="4"/>
  <c r="C1952" i="4"/>
  <c r="H1952" i="4"/>
  <c r="E1952" i="4"/>
  <c r="D1952" i="4"/>
  <c r="H1953" i="4" l="1"/>
  <c r="G1953" i="4"/>
  <c r="A1954" i="4" s="1"/>
  <c r="F1953" i="4"/>
  <c r="E1953" i="4"/>
  <c r="D1953" i="4"/>
  <c r="C1953" i="4"/>
  <c r="B1953" i="4"/>
  <c r="H1954" i="4" l="1"/>
  <c r="E1954" i="4"/>
  <c r="F1954" i="4"/>
  <c r="D1954" i="4"/>
  <c r="C1954" i="4"/>
  <c r="B1954" i="4"/>
  <c r="G1954" i="4"/>
  <c r="A1955" i="4" s="1"/>
  <c r="G1955" i="4" l="1"/>
  <c r="A1956" i="4" s="1"/>
  <c r="E1955" i="4"/>
  <c r="D1955" i="4"/>
  <c r="C1955" i="4"/>
  <c r="B1955" i="4"/>
  <c r="H1955" i="4"/>
  <c r="F1955" i="4"/>
  <c r="H1956" i="4" l="1"/>
  <c r="F1956" i="4"/>
  <c r="C1956" i="4"/>
  <c r="G1956" i="4"/>
  <c r="A1957" i="4" s="1"/>
  <c r="E1956" i="4"/>
  <c r="D1956" i="4"/>
  <c r="B1956" i="4"/>
  <c r="H1957" i="4" l="1"/>
  <c r="C1957" i="4"/>
  <c r="D1957" i="4"/>
  <c r="B1957" i="4"/>
  <c r="F1957" i="4"/>
  <c r="G1957" i="4"/>
  <c r="A1958" i="4" s="1"/>
  <c r="E1957" i="4"/>
  <c r="G1958" i="4" l="1"/>
  <c r="A1959" i="4" s="1"/>
  <c r="D1958" i="4"/>
  <c r="H1958" i="4"/>
  <c r="E1958" i="4"/>
  <c r="B1958" i="4"/>
  <c r="F1958" i="4"/>
  <c r="C1958" i="4"/>
  <c r="B1959" i="4" l="1"/>
  <c r="E1959" i="4"/>
  <c r="D1959" i="4"/>
  <c r="H1959" i="4"/>
  <c r="G1959" i="4"/>
  <c r="A1960" i="4" s="1"/>
  <c r="F1959" i="4"/>
  <c r="C1959" i="4"/>
  <c r="B1960" i="4" l="1"/>
  <c r="D1960" i="4"/>
  <c r="H1960" i="4"/>
  <c r="G1960" i="4"/>
  <c r="A1961" i="4" s="1"/>
  <c r="F1960" i="4"/>
  <c r="C1960" i="4"/>
  <c r="E1960" i="4"/>
  <c r="G1961" i="4" l="1"/>
  <c r="A1962" i="4" s="1"/>
  <c r="H1961" i="4"/>
  <c r="E1961" i="4"/>
  <c r="C1961" i="4"/>
  <c r="F1961" i="4"/>
  <c r="D1961" i="4"/>
  <c r="B1961" i="4"/>
  <c r="F1962" i="4" l="1"/>
  <c r="E1962" i="4"/>
  <c r="D1962" i="4"/>
  <c r="H1962" i="4"/>
  <c r="G1962" i="4"/>
  <c r="A1963" i="4" s="1"/>
  <c r="C1962" i="4"/>
  <c r="B1962" i="4"/>
  <c r="C1963" i="4" l="1"/>
  <c r="B1963" i="4"/>
  <c r="F1963" i="4"/>
  <c r="E1963" i="4"/>
  <c r="D1963" i="4"/>
  <c r="G1963" i="4"/>
  <c r="A1964" i="4" s="1"/>
  <c r="H1963" i="4"/>
  <c r="G1964" i="4" l="1"/>
  <c r="A1965" i="4" s="1"/>
  <c r="H1964" i="4"/>
  <c r="E1964" i="4"/>
  <c r="F1964" i="4"/>
  <c r="D1964" i="4"/>
  <c r="C1964" i="4"/>
  <c r="B1964" i="4"/>
  <c r="C1965" i="4" l="1"/>
  <c r="H1965" i="4"/>
  <c r="D1965" i="4"/>
  <c r="B1965" i="4"/>
  <c r="G1965" i="4"/>
  <c r="A1966" i="4" s="1"/>
  <c r="F1965" i="4"/>
  <c r="E1965" i="4"/>
  <c r="D1966" i="4" l="1"/>
  <c r="C1966" i="4"/>
  <c r="B1966" i="4"/>
  <c r="F1966" i="4"/>
  <c r="H1966" i="4"/>
  <c r="G1966" i="4"/>
  <c r="A1967" i="4" s="1"/>
  <c r="E1966" i="4"/>
  <c r="G1967" i="4" l="1"/>
  <c r="A1968" i="4" s="1"/>
  <c r="E1967" i="4"/>
  <c r="D1967" i="4"/>
  <c r="H1967" i="4"/>
  <c r="F1967" i="4"/>
  <c r="B1967" i="4"/>
  <c r="C1967" i="4"/>
  <c r="F1968" i="4" l="1"/>
  <c r="G1968" i="4"/>
  <c r="A1969" i="4" s="1"/>
  <c r="E1968" i="4"/>
  <c r="C1968" i="4"/>
  <c r="H1968" i="4"/>
  <c r="D1968" i="4"/>
  <c r="B1968" i="4"/>
  <c r="E1969" i="4" l="1"/>
  <c r="D1969" i="4"/>
  <c r="H1969" i="4"/>
  <c r="G1969" i="4"/>
  <c r="A1970" i="4" s="1"/>
  <c r="F1969" i="4"/>
  <c r="C1969" i="4"/>
  <c r="B1969" i="4"/>
  <c r="G1970" i="4" l="1"/>
  <c r="A1971" i="4" s="1"/>
  <c r="F1970" i="4"/>
  <c r="D1970" i="4"/>
  <c r="C1970" i="4"/>
  <c r="B1970" i="4"/>
  <c r="H1970" i="4"/>
  <c r="E1970" i="4"/>
  <c r="E1971" i="4" l="1"/>
  <c r="D1971" i="4"/>
  <c r="B1971" i="4"/>
  <c r="F1971" i="4"/>
  <c r="C1971" i="4"/>
  <c r="H1971" i="4"/>
  <c r="G1971" i="4"/>
  <c r="A1972" i="4" s="1"/>
  <c r="F1972" i="4" l="1"/>
  <c r="E1972" i="4"/>
  <c r="D1972" i="4"/>
  <c r="C1972" i="4"/>
  <c r="B1972" i="4"/>
  <c r="H1972" i="4"/>
  <c r="G1972" i="4"/>
  <c r="A1973" i="4" s="1"/>
  <c r="G1973" i="4" l="1"/>
  <c r="A1974" i="4" s="1"/>
  <c r="D1973" i="4"/>
  <c r="C1973" i="4"/>
  <c r="B1973" i="4"/>
  <c r="H1973" i="4"/>
  <c r="F1973" i="4"/>
  <c r="E1973" i="4"/>
  <c r="H1974" i="4" l="1"/>
  <c r="C1974" i="4"/>
  <c r="B1974" i="4"/>
  <c r="G1974" i="4"/>
  <c r="A1975" i="4" s="1"/>
  <c r="F1974" i="4"/>
  <c r="E1974" i="4"/>
  <c r="D1974" i="4"/>
  <c r="G1975" i="4" l="1"/>
  <c r="A1976" i="4" s="1"/>
  <c r="F1975" i="4"/>
  <c r="D1975" i="4"/>
  <c r="E1975" i="4"/>
  <c r="C1975" i="4"/>
  <c r="H1975" i="4"/>
  <c r="B1975" i="4"/>
  <c r="G1976" i="4" l="1"/>
  <c r="A1977" i="4" s="1"/>
  <c r="H1976" i="4"/>
  <c r="F1976" i="4"/>
  <c r="E1976" i="4"/>
  <c r="D1976" i="4"/>
  <c r="C1976" i="4"/>
  <c r="B1976" i="4"/>
  <c r="D1977" i="4" l="1"/>
  <c r="C1977" i="4"/>
  <c r="B1977" i="4"/>
  <c r="G1977" i="4"/>
  <c r="A1978" i="4" s="1"/>
  <c r="H1977" i="4"/>
  <c r="F1977" i="4"/>
  <c r="E1977" i="4"/>
  <c r="H1978" i="4" l="1"/>
  <c r="G1978" i="4"/>
  <c r="A1979" i="4" s="1"/>
  <c r="F1978" i="4"/>
  <c r="C1978" i="4"/>
  <c r="B1978" i="4"/>
  <c r="E1978" i="4"/>
  <c r="D1978" i="4"/>
  <c r="G1979" i="4" l="1"/>
  <c r="A1980" i="4" s="1"/>
  <c r="F1979" i="4"/>
  <c r="E1979" i="4"/>
  <c r="B1979" i="4"/>
  <c r="H1979" i="4"/>
  <c r="D1979" i="4"/>
  <c r="C1979" i="4"/>
  <c r="E1980" i="4" l="1"/>
  <c r="D1980" i="4"/>
  <c r="C1980" i="4"/>
  <c r="G1980" i="4"/>
  <c r="A1981" i="4" s="1"/>
  <c r="H1980" i="4"/>
  <c r="F1980" i="4"/>
  <c r="B1980" i="4"/>
  <c r="H1981" i="4" l="1"/>
  <c r="F1981" i="4"/>
  <c r="E1981" i="4"/>
  <c r="D1981" i="4"/>
  <c r="G1981" i="4"/>
  <c r="A1982" i="4" s="1"/>
  <c r="C1981" i="4"/>
  <c r="B1981" i="4"/>
  <c r="G1982" i="4" l="1"/>
  <c r="A1983" i="4" s="1"/>
  <c r="D1982" i="4"/>
  <c r="F1982" i="4"/>
  <c r="H1982" i="4"/>
  <c r="E1982" i="4"/>
  <c r="C1982" i="4"/>
  <c r="B1982" i="4"/>
  <c r="H1983" i="4" l="1"/>
  <c r="G1983" i="4"/>
  <c r="A1984" i="4" s="1"/>
  <c r="F1983" i="4"/>
  <c r="E1983" i="4"/>
  <c r="B1983" i="4"/>
  <c r="D1983" i="4"/>
  <c r="C1983" i="4"/>
  <c r="H1984" i="4" l="1"/>
  <c r="F1984" i="4"/>
  <c r="C1984" i="4"/>
  <c r="G1984" i="4"/>
  <c r="A1985" i="4" s="1"/>
  <c r="D1984" i="4"/>
  <c r="E1984" i="4"/>
  <c r="B1984" i="4"/>
  <c r="G1985" i="4" l="1"/>
  <c r="A1986" i="4" s="1"/>
  <c r="B1985" i="4"/>
  <c r="H1985" i="4"/>
  <c r="C1985" i="4"/>
  <c r="D1985" i="4"/>
  <c r="E1985" i="4"/>
  <c r="F1985" i="4"/>
  <c r="D1986" i="4" l="1"/>
  <c r="C1986" i="4"/>
  <c r="B1986" i="4"/>
  <c r="H1986" i="4"/>
  <c r="G1986" i="4"/>
  <c r="A1987" i="4" s="1"/>
  <c r="F1986" i="4"/>
  <c r="E1986" i="4"/>
  <c r="E1987" i="4" l="1"/>
  <c r="D1987" i="4"/>
  <c r="C1987" i="4"/>
  <c r="H1987" i="4"/>
  <c r="G1987" i="4"/>
  <c r="A1988" i="4" s="1"/>
  <c r="F1987" i="4"/>
  <c r="B1987" i="4"/>
  <c r="G1988" i="4" l="1"/>
  <c r="A1989" i="4" s="1"/>
  <c r="C1988" i="4"/>
  <c r="B1988" i="4"/>
  <c r="H1988" i="4"/>
  <c r="F1988" i="4"/>
  <c r="E1988" i="4"/>
  <c r="D1988" i="4"/>
  <c r="C1989" i="4" l="1"/>
  <c r="G1989" i="4"/>
  <c r="A1990" i="4" s="1"/>
  <c r="E1989" i="4"/>
  <c r="H1989" i="4"/>
  <c r="F1989" i="4"/>
  <c r="D1989" i="4"/>
  <c r="B1989" i="4"/>
  <c r="H1990" i="4" l="1"/>
  <c r="G1990" i="4"/>
  <c r="A1991" i="4" s="1"/>
  <c r="F1990" i="4"/>
  <c r="E1990" i="4"/>
  <c r="D1990" i="4"/>
  <c r="C1990" i="4"/>
  <c r="B1990" i="4"/>
  <c r="G1991" i="4" l="1"/>
  <c r="A1992" i="4" s="1"/>
  <c r="D1991" i="4"/>
  <c r="C1991" i="4"/>
  <c r="E1991" i="4"/>
  <c r="B1991" i="4"/>
  <c r="H1991" i="4"/>
  <c r="F1991" i="4"/>
  <c r="F1992" i="4" l="1"/>
  <c r="B1992" i="4"/>
  <c r="E1992" i="4"/>
  <c r="D1992" i="4"/>
  <c r="H1992" i="4"/>
  <c r="G1992" i="4"/>
  <c r="A1993" i="4" s="1"/>
  <c r="C1992" i="4"/>
  <c r="H1993" i="4" l="1"/>
  <c r="G1993" i="4"/>
  <c r="A1994" i="4" s="1"/>
  <c r="F1993" i="4"/>
  <c r="E1993" i="4"/>
  <c r="D1993" i="4"/>
  <c r="C1993" i="4"/>
  <c r="B1993" i="4"/>
  <c r="G1994" i="4" l="1"/>
  <c r="A1995" i="4" s="1"/>
  <c r="E1994" i="4"/>
  <c r="D1994" i="4"/>
  <c r="H1994" i="4"/>
  <c r="F1994" i="4"/>
  <c r="C1994" i="4"/>
  <c r="B1994" i="4"/>
  <c r="H1995" i="4" l="1"/>
  <c r="E1995" i="4"/>
  <c r="G1995" i="4"/>
  <c r="A1996" i="4" s="1"/>
  <c r="F1995" i="4"/>
  <c r="D1995" i="4"/>
  <c r="B1995" i="4"/>
  <c r="C1995" i="4"/>
  <c r="B1996" i="4" l="1"/>
  <c r="G1996" i="4"/>
  <c r="A1997" i="4" s="1"/>
  <c r="F1996" i="4"/>
  <c r="D1996" i="4"/>
  <c r="H1996" i="4"/>
  <c r="E1996" i="4"/>
  <c r="C1996" i="4"/>
  <c r="G1997" i="4" l="1"/>
  <c r="A1998" i="4" s="1"/>
  <c r="F1997" i="4"/>
  <c r="E1997" i="4"/>
  <c r="H1997" i="4"/>
  <c r="D1997" i="4"/>
  <c r="C1997" i="4"/>
  <c r="B1997" i="4"/>
  <c r="D1998" i="4" l="1"/>
  <c r="C1998" i="4"/>
  <c r="B1998" i="4"/>
  <c r="F1998" i="4"/>
  <c r="E1998" i="4"/>
  <c r="H1998" i="4"/>
  <c r="G1998" i="4"/>
  <c r="A1999" i="4" s="1"/>
  <c r="D1999" i="4" l="1"/>
  <c r="H1999" i="4"/>
  <c r="E1999" i="4"/>
  <c r="G1999" i="4"/>
  <c r="A2000" i="4" s="1"/>
  <c r="F1999" i="4"/>
  <c r="C1999" i="4"/>
  <c r="B1999" i="4"/>
  <c r="G2000" i="4" l="1"/>
  <c r="A2001" i="4" s="1"/>
  <c r="H2000" i="4"/>
  <c r="F2000" i="4"/>
  <c r="D2000" i="4"/>
  <c r="C2000" i="4"/>
  <c r="B2000" i="4"/>
  <c r="E2000" i="4"/>
  <c r="H2001" i="4" l="1"/>
  <c r="G2001" i="4"/>
  <c r="A2002" i="4" s="1"/>
  <c r="F2001" i="4"/>
  <c r="E2001" i="4"/>
  <c r="B2001" i="4"/>
  <c r="D2001" i="4"/>
  <c r="C2001" i="4"/>
  <c r="G2002" i="4" l="1"/>
  <c r="A2003" i="4" s="1"/>
  <c r="C2002" i="4"/>
  <c r="B2002" i="4"/>
  <c r="F2002" i="4"/>
  <c r="E2002" i="4"/>
  <c r="D2002" i="4"/>
  <c r="H2002" i="4"/>
  <c r="G2003" i="4" l="1"/>
  <c r="A2004" i="4" s="1"/>
  <c r="H2003" i="4"/>
  <c r="D2003" i="4"/>
  <c r="E2003" i="4"/>
  <c r="F2003" i="4"/>
  <c r="C2003" i="4"/>
  <c r="B2003" i="4"/>
  <c r="C2004" i="4" l="1"/>
  <c r="B2004" i="4"/>
  <c r="H2004" i="4"/>
  <c r="G2004" i="4"/>
  <c r="A2005" i="4" s="1"/>
  <c r="E2004" i="4"/>
  <c r="F2004" i="4"/>
  <c r="D2004" i="4"/>
  <c r="D2005" i="4" l="1"/>
  <c r="C2005" i="4"/>
  <c r="B2005" i="4"/>
  <c r="F2005" i="4"/>
  <c r="E2005" i="4"/>
  <c r="G2005" i="4"/>
  <c r="A2006" i="4" s="1"/>
  <c r="H2005" i="4"/>
  <c r="G2006" i="4" l="1"/>
  <c r="A2007" i="4" s="1"/>
  <c r="B2006" i="4"/>
  <c r="H2006" i="4"/>
  <c r="D2006" i="4"/>
  <c r="F2006" i="4"/>
  <c r="E2006" i="4"/>
  <c r="C2006" i="4"/>
  <c r="B2007" i="4" l="1"/>
  <c r="F2007" i="4"/>
  <c r="E2007" i="4"/>
  <c r="D2007" i="4"/>
  <c r="H2007" i="4"/>
  <c r="G2007" i="4"/>
  <c r="A2008" i="4" s="1"/>
  <c r="C2007" i="4"/>
  <c r="H2008" i="4" l="1"/>
  <c r="G2008" i="4"/>
  <c r="A2009" i="4" s="1"/>
  <c r="F2008" i="4"/>
  <c r="B2008" i="4"/>
  <c r="D2008" i="4"/>
  <c r="E2008" i="4"/>
  <c r="C2008" i="4"/>
  <c r="G2009" i="4" l="1"/>
  <c r="A2010" i="4" s="1"/>
  <c r="E2009" i="4"/>
  <c r="H2009" i="4"/>
  <c r="F2009" i="4"/>
  <c r="D2009" i="4"/>
  <c r="C2009" i="4"/>
  <c r="B2009" i="4"/>
  <c r="C2010" i="4" l="1"/>
  <c r="B2010" i="4"/>
  <c r="G2010" i="4"/>
  <c r="A2011" i="4" s="1"/>
  <c r="F2010" i="4"/>
  <c r="E2010" i="4"/>
  <c r="D2010" i="4"/>
  <c r="H2010" i="4"/>
  <c r="H2011" i="4" l="1"/>
  <c r="E2011" i="4"/>
  <c r="F2011" i="4"/>
  <c r="D2011" i="4"/>
  <c r="C2011" i="4"/>
  <c r="G2011" i="4"/>
  <c r="A2012" i="4" s="1"/>
  <c r="B2011" i="4"/>
  <c r="G2012" i="4" l="1"/>
  <c r="A2013" i="4" s="1"/>
  <c r="D2012" i="4"/>
  <c r="C2012" i="4"/>
  <c r="B2012" i="4"/>
  <c r="F2012" i="4"/>
  <c r="H2012" i="4"/>
  <c r="E2012" i="4"/>
  <c r="D2013" i="4" l="1"/>
  <c r="C2013" i="4"/>
  <c r="E2013" i="4"/>
  <c r="F2013" i="4"/>
  <c r="B2013" i="4"/>
  <c r="G2013" i="4"/>
  <c r="A2014" i="4" s="1"/>
  <c r="H2013" i="4"/>
  <c r="D2014" i="4" l="1"/>
  <c r="C2014" i="4"/>
  <c r="B2014" i="4"/>
  <c r="F2014" i="4"/>
  <c r="E2014" i="4"/>
  <c r="H2014" i="4"/>
  <c r="G2014" i="4"/>
  <c r="A2015" i="4" s="1"/>
  <c r="G2015" i="4" l="1"/>
  <c r="A2016" i="4" s="1"/>
  <c r="H2015" i="4"/>
  <c r="F2015" i="4"/>
  <c r="D2015" i="4"/>
  <c r="E2015" i="4"/>
  <c r="C2015" i="4"/>
  <c r="B2015" i="4"/>
  <c r="E2016" i="4" l="1"/>
  <c r="D2016" i="4"/>
  <c r="F2016" i="4"/>
  <c r="G2016" i="4"/>
  <c r="A2017" i="4" s="1"/>
  <c r="C2016" i="4"/>
  <c r="H2016" i="4"/>
  <c r="B2016" i="4"/>
  <c r="G2017" i="4" l="1"/>
  <c r="A2018" i="4" s="1"/>
  <c r="E2017" i="4"/>
  <c r="D2017" i="4"/>
  <c r="H2017" i="4"/>
  <c r="F2017" i="4"/>
  <c r="C2017" i="4"/>
  <c r="B2017" i="4"/>
  <c r="G2018" i="4" l="1"/>
  <c r="A2019" i="4" s="1"/>
  <c r="F2018" i="4"/>
  <c r="E2018" i="4"/>
  <c r="D2018" i="4"/>
  <c r="H2018" i="4"/>
  <c r="C2018" i="4"/>
  <c r="B2018" i="4"/>
  <c r="F2019" i="4" l="1"/>
  <c r="E2019" i="4"/>
  <c r="D2019" i="4"/>
  <c r="H2019" i="4"/>
  <c r="G2019" i="4"/>
  <c r="A2020" i="4" s="1"/>
  <c r="C2019" i="4"/>
  <c r="B2019" i="4"/>
  <c r="B2020" i="4" l="1"/>
  <c r="G2020" i="4"/>
  <c r="A2021" i="4" s="1"/>
  <c r="F2020" i="4"/>
  <c r="C2020" i="4"/>
  <c r="E2020" i="4"/>
  <c r="D2020" i="4"/>
  <c r="H2020" i="4"/>
  <c r="G2021" i="4" l="1"/>
  <c r="A2022" i="4" s="1"/>
  <c r="E2021" i="4"/>
  <c r="C2021" i="4"/>
  <c r="H2021" i="4"/>
  <c r="F2021" i="4"/>
  <c r="D2021" i="4"/>
  <c r="B2021" i="4"/>
  <c r="G2022" i="4" l="1"/>
  <c r="A2023" i="4" s="1"/>
  <c r="F2022" i="4"/>
  <c r="E2022" i="4"/>
  <c r="C2022" i="4"/>
  <c r="H2022" i="4"/>
  <c r="D2022" i="4"/>
  <c r="B2022" i="4"/>
  <c r="F2023" i="4" l="1"/>
  <c r="E2023" i="4"/>
  <c r="D2023" i="4"/>
  <c r="C2023" i="4"/>
  <c r="H2023" i="4"/>
  <c r="G2023" i="4"/>
  <c r="A2024" i="4" s="1"/>
  <c r="B2023" i="4"/>
  <c r="G2024" i="4" l="1"/>
  <c r="A2025" i="4" s="1"/>
  <c r="H2024" i="4"/>
  <c r="F2024" i="4"/>
  <c r="C2024" i="4"/>
  <c r="D2024" i="4"/>
  <c r="E2024" i="4"/>
  <c r="B2024" i="4"/>
  <c r="H2025" i="4" l="1"/>
  <c r="G2025" i="4"/>
  <c r="A2026" i="4" s="1"/>
  <c r="F2025" i="4"/>
  <c r="B2025" i="4"/>
  <c r="E2025" i="4"/>
  <c r="D2025" i="4"/>
  <c r="C2025" i="4"/>
  <c r="H2026" i="4" l="1"/>
  <c r="D2026" i="4"/>
  <c r="C2026" i="4"/>
  <c r="G2026" i="4"/>
  <c r="A2027" i="4" s="1"/>
  <c r="F2026" i="4"/>
  <c r="E2026" i="4"/>
  <c r="B2026" i="4"/>
  <c r="G2027" i="4" l="1"/>
  <c r="A2028" i="4" s="1"/>
  <c r="C2027" i="4"/>
  <c r="B2027" i="4"/>
  <c r="D2027" i="4"/>
  <c r="F2027" i="4"/>
  <c r="H2027" i="4"/>
  <c r="E2027" i="4"/>
  <c r="H2028" i="4" l="1"/>
  <c r="G2028" i="4"/>
  <c r="A2029" i="4" s="1"/>
  <c r="E2028" i="4"/>
  <c r="F2028" i="4"/>
  <c r="D2028" i="4"/>
  <c r="C2028" i="4"/>
  <c r="B2028" i="4"/>
  <c r="D2029" i="4" l="1"/>
  <c r="C2029" i="4"/>
  <c r="B2029" i="4"/>
  <c r="G2029" i="4"/>
  <c r="A2030" i="4" s="1"/>
  <c r="F2029" i="4"/>
  <c r="H2029" i="4"/>
  <c r="E2029" i="4"/>
  <c r="G2030" i="4" l="1"/>
  <c r="A2031" i="4" s="1"/>
  <c r="H2030" i="4"/>
  <c r="F2030" i="4"/>
  <c r="E2030" i="4"/>
  <c r="D2030" i="4"/>
  <c r="B2030" i="4"/>
  <c r="C2030" i="4"/>
  <c r="H2031" i="4" l="1"/>
  <c r="C2031" i="4"/>
  <c r="B2031" i="4"/>
  <c r="G2031" i="4"/>
  <c r="A2032" i="4" s="1"/>
  <c r="F2031" i="4"/>
  <c r="E2031" i="4"/>
  <c r="D2031" i="4"/>
  <c r="B2032" i="4" l="1"/>
  <c r="F2032" i="4"/>
  <c r="H2032" i="4"/>
  <c r="G2032" i="4"/>
  <c r="A2033" i="4" s="1"/>
  <c r="E2032" i="4"/>
  <c r="D2032" i="4"/>
  <c r="C2032" i="4"/>
  <c r="G2033" i="4" l="1"/>
  <c r="A2034" i="4" s="1"/>
  <c r="E2033" i="4"/>
  <c r="D2033" i="4"/>
  <c r="H2033" i="4"/>
  <c r="F2033" i="4"/>
  <c r="C2033" i="4"/>
  <c r="B2033" i="4"/>
  <c r="D2034" i="4" l="1"/>
  <c r="C2034" i="4"/>
  <c r="H2034" i="4"/>
  <c r="G2034" i="4"/>
  <c r="A2035" i="4" s="1"/>
  <c r="B2034" i="4"/>
  <c r="F2034" i="4"/>
  <c r="E2034" i="4"/>
  <c r="C2035" i="4" l="1"/>
  <c r="B2035" i="4"/>
  <c r="D2035" i="4"/>
  <c r="H2035" i="4"/>
  <c r="G2035" i="4"/>
  <c r="A2036" i="4" s="1"/>
  <c r="F2035" i="4"/>
  <c r="E2035" i="4"/>
  <c r="G2036" i="4" l="1"/>
  <c r="A2037" i="4" s="1"/>
  <c r="F2036" i="4"/>
  <c r="E2036" i="4"/>
  <c r="C2036" i="4"/>
  <c r="H2036" i="4"/>
  <c r="D2036" i="4"/>
  <c r="B2036" i="4"/>
  <c r="H2037" i="4" l="1"/>
  <c r="G2037" i="4"/>
  <c r="A2038" i="4" s="1"/>
  <c r="F2037" i="4"/>
  <c r="C2037" i="4"/>
  <c r="D2037" i="4"/>
  <c r="E2037" i="4"/>
  <c r="B2037" i="4"/>
  <c r="D2038" i="4" l="1"/>
  <c r="C2038" i="4"/>
  <c r="B2038" i="4"/>
  <c r="H2038" i="4"/>
  <c r="G2038" i="4"/>
  <c r="A2039" i="4" s="1"/>
  <c r="F2038" i="4"/>
  <c r="E2038" i="4"/>
  <c r="G2039" i="4" l="1"/>
  <c r="A2040" i="4" s="1"/>
  <c r="B2039" i="4"/>
  <c r="E2039" i="4"/>
  <c r="D2039" i="4"/>
  <c r="C2039" i="4"/>
  <c r="H2039" i="4"/>
  <c r="F2039" i="4"/>
  <c r="H2040" i="4" l="1"/>
  <c r="F2040" i="4"/>
  <c r="G2040" i="4"/>
  <c r="A2041" i="4" s="1"/>
  <c r="E2040" i="4"/>
  <c r="D2040" i="4"/>
  <c r="C2040" i="4"/>
  <c r="B2040" i="4"/>
  <c r="E2041" i="4" l="1"/>
  <c r="D2041" i="4"/>
  <c r="C2041" i="4"/>
  <c r="G2041" i="4"/>
  <c r="A2042" i="4" s="1"/>
  <c r="F2041" i="4"/>
  <c r="B2041" i="4"/>
  <c r="H2041" i="4"/>
  <c r="G2042" i="4" l="1"/>
  <c r="A2043" i="4" s="1"/>
  <c r="H2042" i="4"/>
  <c r="F2042" i="4"/>
  <c r="E2042" i="4"/>
  <c r="D2042" i="4"/>
  <c r="C2042" i="4"/>
  <c r="B2042" i="4"/>
  <c r="H2043" i="4" l="1"/>
  <c r="G2043" i="4"/>
  <c r="A2044" i="4" s="1"/>
  <c r="C2043" i="4"/>
  <c r="E2043" i="4"/>
  <c r="D2043" i="4"/>
  <c r="B2043" i="4"/>
  <c r="F2043" i="4"/>
  <c r="F2044" i="4" l="1"/>
  <c r="E2044" i="4"/>
  <c r="D2044" i="4"/>
  <c r="B2044" i="4"/>
  <c r="H2044" i="4"/>
  <c r="G2044" i="4"/>
  <c r="A2045" i="4" s="1"/>
  <c r="C2044" i="4"/>
  <c r="G2045" i="4" l="1"/>
  <c r="A2046" i="4" s="1"/>
  <c r="C2045" i="4"/>
  <c r="B2045" i="4"/>
  <c r="H2045" i="4"/>
  <c r="F2045" i="4"/>
  <c r="E2045" i="4"/>
  <c r="D2045" i="4"/>
  <c r="G2046" i="4" l="1"/>
  <c r="A2047" i="4" s="1"/>
  <c r="F2046" i="4"/>
  <c r="E2046" i="4"/>
  <c r="C2046" i="4"/>
  <c r="H2046" i="4"/>
  <c r="D2046" i="4"/>
  <c r="B2046" i="4"/>
  <c r="G2047" i="4" l="1"/>
  <c r="A2048" i="4" s="1"/>
  <c r="F2047" i="4"/>
  <c r="E2047" i="4"/>
  <c r="B2047" i="4"/>
  <c r="H2047" i="4"/>
  <c r="C2047" i="4"/>
  <c r="D2047" i="4"/>
  <c r="G2048" i="4" l="1"/>
  <c r="A2049" i="4" s="1"/>
  <c r="H2048" i="4"/>
  <c r="F2048" i="4"/>
  <c r="B2048" i="4"/>
  <c r="C2048" i="4"/>
  <c r="E2048" i="4"/>
  <c r="D2048" i="4"/>
  <c r="D2049" i="4" l="1"/>
  <c r="C2049" i="4"/>
  <c r="B2049" i="4"/>
  <c r="H2049" i="4"/>
  <c r="G2049" i="4"/>
  <c r="A2050" i="4" s="1"/>
  <c r="E2049" i="4"/>
  <c r="F2049" i="4"/>
  <c r="H2050" i="4" l="1"/>
  <c r="G2050" i="4"/>
  <c r="A2051" i="4" s="1"/>
  <c r="F2050" i="4"/>
  <c r="E2050" i="4"/>
  <c r="D2050" i="4"/>
  <c r="C2050" i="4"/>
  <c r="B2050" i="4"/>
  <c r="G2051" i="4" l="1"/>
  <c r="A2052" i="4" s="1"/>
  <c r="F2051" i="4"/>
  <c r="E2051" i="4"/>
  <c r="B2051" i="4"/>
  <c r="H2051" i="4"/>
  <c r="D2051" i="4"/>
  <c r="C2051" i="4"/>
  <c r="D2052" i="4" l="1"/>
  <c r="C2052" i="4"/>
  <c r="H2052" i="4"/>
  <c r="G2052" i="4"/>
  <c r="A2053" i="4" s="1"/>
  <c r="E2052" i="4"/>
  <c r="B2052" i="4"/>
  <c r="F2052" i="4"/>
  <c r="H2053" i="4" l="1"/>
  <c r="G2053" i="4"/>
  <c r="A2054" i="4" s="1"/>
  <c r="F2053" i="4"/>
  <c r="E2053" i="4"/>
  <c r="D2053" i="4"/>
  <c r="C2053" i="4"/>
  <c r="B2053" i="4"/>
  <c r="G2054" i="4" l="1"/>
  <c r="A2055" i="4" s="1"/>
  <c r="F2054" i="4"/>
  <c r="E2054" i="4"/>
  <c r="D2054" i="4"/>
  <c r="C2054" i="4"/>
  <c r="B2054" i="4"/>
  <c r="H2054" i="4"/>
  <c r="H2055" i="4" l="1"/>
  <c r="G2055" i="4"/>
  <c r="A2056" i="4" s="1"/>
  <c r="D2055" i="4"/>
  <c r="F2055" i="4"/>
  <c r="B2055" i="4"/>
  <c r="E2055" i="4"/>
  <c r="C2055" i="4"/>
  <c r="H2056" i="4" l="1"/>
  <c r="B2056" i="4"/>
  <c r="E2056" i="4"/>
  <c r="D2056" i="4"/>
  <c r="G2056" i="4"/>
  <c r="A2057" i="4" s="1"/>
  <c r="F2056" i="4"/>
  <c r="C2056" i="4"/>
  <c r="G2057" i="4" l="1"/>
  <c r="A2058" i="4" s="1"/>
  <c r="B2057" i="4"/>
  <c r="H2057" i="4"/>
  <c r="E2057" i="4"/>
  <c r="F2057" i="4"/>
  <c r="C2057" i="4"/>
  <c r="D2057" i="4"/>
  <c r="E2058" i="4" l="1"/>
  <c r="D2058" i="4"/>
  <c r="C2058" i="4"/>
  <c r="H2058" i="4"/>
  <c r="B2058" i="4"/>
  <c r="F2058" i="4"/>
  <c r="G2058" i="4"/>
  <c r="A2059" i="4" s="1"/>
  <c r="D2059" i="4" l="1"/>
  <c r="C2059" i="4"/>
  <c r="G2059" i="4"/>
  <c r="A2060" i="4" s="1"/>
  <c r="E2059" i="4"/>
  <c r="B2059" i="4"/>
  <c r="H2059" i="4"/>
  <c r="F2059" i="4"/>
  <c r="G2060" i="4" l="1"/>
  <c r="A2061" i="4" s="1"/>
  <c r="C2060" i="4"/>
  <c r="B2060" i="4"/>
  <c r="F2060" i="4"/>
  <c r="E2060" i="4"/>
  <c r="D2060" i="4"/>
  <c r="H2060" i="4"/>
  <c r="H2061" i="4" l="1"/>
  <c r="E2061" i="4"/>
  <c r="D2061" i="4"/>
  <c r="G2061" i="4"/>
  <c r="A2062" i="4" s="1"/>
  <c r="F2061" i="4"/>
  <c r="C2061" i="4"/>
  <c r="B2061" i="4"/>
  <c r="H2062" i="4" l="1"/>
  <c r="G2062" i="4"/>
  <c r="A2063" i="4" s="1"/>
  <c r="C2062" i="4"/>
  <c r="B2062" i="4"/>
  <c r="F2062" i="4"/>
  <c r="E2062" i="4"/>
  <c r="D2062" i="4"/>
  <c r="G2063" i="4" l="1"/>
  <c r="A2064" i="4" s="1"/>
  <c r="D2063" i="4"/>
  <c r="C2063" i="4"/>
  <c r="B2063" i="4"/>
  <c r="F2063" i="4"/>
  <c r="E2063" i="4"/>
  <c r="H2063" i="4"/>
  <c r="H2064" i="4" l="1"/>
  <c r="G2064" i="4"/>
  <c r="A2065" i="4" s="1"/>
  <c r="D2064" i="4"/>
  <c r="F2064" i="4"/>
  <c r="E2064" i="4"/>
  <c r="C2064" i="4"/>
  <c r="B2064" i="4"/>
  <c r="H2065" i="4" l="1"/>
  <c r="G2065" i="4"/>
  <c r="A2066" i="4" s="1"/>
  <c r="F2065" i="4"/>
  <c r="E2065" i="4"/>
  <c r="D2065" i="4"/>
  <c r="C2065" i="4"/>
  <c r="B2065" i="4"/>
  <c r="G2066" i="4" l="1"/>
  <c r="A2067" i="4" s="1"/>
  <c r="E2066" i="4"/>
  <c r="D2066" i="4"/>
  <c r="C2066" i="4"/>
  <c r="H2066" i="4"/>
  <c r="F2066" i="4"/>
  <c r="B2066" i="4"/>
  <c r="H2067" i="4" l="1"/>
  <c r="G2067" i="4"/>
  <c r="A2068" i="4" s="1"/>
  <c r="C2067" i="4"/>
  <c r="B2067" i="4"/>
  <c r="F2067" i="4"/>
  <c r="D2067" i="4"/>
  <c r="E2067" i="4"/>
  <c r="H2068" i="4" l="1"/>
  <c r="E2068" i="4"/>
  <c r="G2068" i="4"/>
  <c r="A2069" i="4" s="1"/>
  <c r="F2068" i="4"/>
  <c r="C2068" i="4"/>
  <c r="B2068" i="4"/>
  <c r="D2068" i="4"/>
  <c r="G2069" i="4" l="1"/>
  <c r="A2070" i="4" s="1"/>
  <c r="F2069" i="4"/>
  <c r="E2069" i="4"/>
  <c r="D2069" i="4"/>
  <c r="H2069" i="4"/>
  <c r="C2069" i="4"/>
  <c r="B2069" i="4"/>
  <c r="D2070" i="4" l="1"/>
  <c r="C2070" i="4"/>
  <c r="E2070" i="4"/>
  <c r="B2070" i="4"/>
  <c r="H2070" i="4"/>
  <c r="F2070" i="4"/>
  <c r="G2070" i="4"/>
  <c r="A2071" i="4" s="1"/>
  <c r="D2071" i="4" l="1"/>
  <c r="C2071" i="4"/>
  <c r="B2071" i="4"/>
  <c r="H2071" i="4"/>
  <c r="G2071" i="4"/>
  <c r="A2072" i="4" s="1"/>
  <c r="F2071" i="4"/>
  <c r="E2071" i="4"/>
  <c r="G2072" i="4" l="1"/>
  <c r="A2073" i="4" s="1"/>
  <c r="H2072" i="4"/>
  <c r="F2072" i="4"/>
  <c r="E2072" i="4"/>
  <c r="D2072" i="4"/>
  <c r="C2072" i="4"/>
  <c r="B2072" i="4"/>
  <c r="H2073" i="4" l="1"/>
  <c r="G2073" i="4"/>
  <c r="A2074" i="4" s="1"/>
  <c r="F2073" i="4"/>
  <c r="E2073" i="4"/>
  <c r="B2073" i="4"/>
  <c r="D2073" i="4"/>
  <c r="C2073" i="4"/>
  <c r="C2074" i="4" l="1"/>
  <c r="B2074" i="4"/>
  <c r="H2074" i="4"/>
  <c r="G2074" i="4"/>
  <c r="A2075" i="4" s="1"/>
  <c r="F2074" i="4"/>
  <c r="E2074" i="4"/>
  <c r="D2074" i="4"/>
  <c r="G2075" i="4" l="1"/>
  <c r="A2076" i="4" s="1"/>
  <c r="H2075" i="4"/>
  <c r="F2075" i="4"/>
  <c r="E2075" i="4"/>
  <c r="C2075" i="4"/>
  <c r="D2075" i="4"/>
  <c r="B2075" i="4"/>
  <c r="H2076" i="4" l="1"/>
  <c r="G2076" i="4"/>
  <c r="A2077" i="4" s="1"/>
  <c r="E2076" i="4"/>
  <c r="B2076" i="4"/>
  <c r="D2076" i="4"/>
  <c r="C2076" i="4"/>
  <c r="F2076" i="4"/>
  <c r="D2077" i="4" l="1"/>
  <c r="C2077" i="4"/>
  <c r="H2077" i="4"/>
  <c r="G2077" i="4"/>
  <c r="A2078" i="4" s="1"/>
  <c r="E2077" i="4"/>
  <c r="F2077" i="4"/>
  <c r="B2077" i="4"/>
  <c r="G2078" i="4" l="1"/>
  <c r="A2079" i="4" s="1"/>
  <c r="H2078" i="4"/>
  <c r="D2078" i="4"/>
  <c r="C2078" i="4"/>
  <c r="F2078" i="4"/>
  <c r="E2078" i="4"/>
  <c r="B2078" i="4"/>
  <c r="B2079" i="4" l="1"/>
  <c r="H2079" i="4"/>
  <c r="G2079" i="4"/>
  <c r="A2080" i="4" s="1"/>
  <c r="F2079" i="4"/>
  <c r="E2079" i="4"/>
  <c r="C2079" i="4"/>
  <c r="D2079" i="4"/>
  <c r="H2080" i="4" l="1"/>
  <c r="G2080" i="4"/>
  <c r="A2081" i="4" s="1"/>
  <c r="F2080" i="4"/>
  <c r="E2080" i="4"/>
  <c r="D2080" i="4"/>
  <c r="C2080" i="4"/>
  <c r="B2080" i="4"/>
  <c r="G2081" i="4" l="1"/>
  <c r="A2082" i="4" s="1"/>
  <c r="H2081" i="4"/>
  <c r="F2081" i="4"/>
  <c r="E2081" i="4"/>
  <c r="B2081" i="4"/>
  <c r="D2081" i="4"/>
  <c r="C2081" i="4"/>
  <c r="C2082" i="4" l="1"/>
  <c r="B2082" i="4"/>
  <c r="H2082" i="4"/>
  <c r="E2082" i="4"/>
  <c r="G2082" i="4"/>
  <c r="A2083" i="4" s="1"/>
  <c r="F2082" i="4"/>
  <c r="D2082" i="4"/>
  <c r="G2083" i="4" l="1"/>
  <c r="A2084" i="4" s="1"/>
  <c r="F2083" i="4"/>
  <c r="H2083" i="4"/>
  <c r="D2083" i="4"/>
  <c r="E2083" i="4"/>
  <c r="C2083" i="4"/>
  <c r="B2083" i="4"/>
  <c r="G2084" i="4" l="1"/>
  <c r="A2085" i="4" s="1"/>
  <c r="D2084" i="4"/>
  <c r="C2084" i="4"/>
  <c r="H2084" i="4"/>
  <c r="F2084" i="4"/>
  <c r="E2084" i="4"/>
  <c r="B2084" i="4"/>
  <c r="D2085" i="4" l="1"/>
  <c r="C2085" i="4"/>
  <c r="B2085" i="4"/>
  <c r="H2085" i="4"/>
  <c r="G2085" i="4"/>
  <c r="A2086" i="4" s="1"/>
  <c r="E2085" i="4"/>
  <c r="F2085" i="4"/>
  <c r="F2086" i="4" l="1"/>
  <c r="B10" i="1" s="1"/>
  <c r="C2086" i="4"/>
  <c r="B2086" i="4"/>
  <c r="H2086" i="4"/>
  <c r="B17" i="1" s="1"/>
  <c r="G2086" i="4"/>
  <c r="E2086" i="4"/>
  <c r="B9" i="1" s="1"/>
  <c r="D2086" i="4"/>
  <c r="B8" i="1" s="1"/>
  <c r="B13" i="1"/>
  <c r="B11" i="1" l="1"/>
  <c r="B12" i="1"/>
  <c r="A34" i="5"/>
  <c r="A32" i="5"/>
  <c r="A7" i="5"/>
  <c r="A23" i="5"/>
  <c r="A17" i="5"/>
  <c r="A26" i="5"/>
  <c r="A40" i="5"/>
  <c r="A38" i="5"/>
  <c r="A12" i="5"/>
  <c r="A22" i="5"/>
  <c r="A25" i="5"/>
  <c r="A42" i="5"/>
  <c r="A15" i="5"/>
  <c r="A28" i="5"/>
  <c r="A29" i="5"/>
  <c r="A11" i="5"/>
  <c r="A31" i="5"/>
  <c r="A30" i="5"/>
  <c r="A13" i="5"/>
  <c r="A16" i="5"/>
  <c r="A27" i="5"/>
  <c r="A9" i="5"/>
  <c r="A8" i="5"/>
  <c r="A35" i="5"/>
  <c r="A33" i="5"/>
  <c r="A37" i="5"/>
  <c r="A46" i="5"/>
  <c r="A21" i="5"/>
  <c r="A20" i="5"/>
  <c r="A45" i="5"/>
  <c r="A43" i="5"/>
  <c r="A41" i="5"/>
  <c r="A39" i="5"/>
  <c r="A10" i="5"/>
  <c r="A18" i="5"/>
  <c r="A36" i="5"/>
  <c r="A24" i="5"/>
  <c r="A14" i="5"/>
  <c r="A19" i="5"/>
  <c r="A44" i="5"/>
  <c r="B27" i="5" l="1"/>
  <c r="A61" i="6"/>
  <c r="G27" i="5"/>
  <c r="D27" i="5"/>
  <c r="F27" i="5"/>
  <c r="E27" i="5"/>
  <c r="C27" i="5"/>
  <c r="G26" i="5"/>
  <c r="F26" i="5"/>
  <c r="E26" i="5"/>
  <c r="D26" i="5"/>
  <c r="C26" i="5"/>
  <c r="B26" i="5"/>
  <c r="A60" i="6"/>
  <c r="G31" i="5"/>
  <c r="D31" i="5"/>
  <c r="A65" i="6"/>
  <c r="F31" i="5"/>
  <c r="E31" i="5"/>
  <c r="C31" i="5"/>
  <c r="B31" i="5"/>
  <c r="F14" i="5"/>
  <c r="C14" i="5"/>
  <c r="A48" i="6"/>
  <c r="E14" i="5"/>
  <c r="D14" i="5"/>
  <c r="B14" i="5"/>
  <c r="G14" i="5"/>
  <c r="B18" i="5"/>
  <c r="A52" i="6"/>
  <c r="G18" i="5"/>
  <c r="F18" i="5"/>
  <c r="E18" i="5"/>
  <c r="C18" i="5"/>
  <c r="D18" i="5"/>
  <c r="F17" i="5"/>
  <c r="E17" i="5"/>
  <c r="D17" i="5"/>
  <c r="A51" i="6"/>
  <c r="G17" i="5"/>
  <c r="C17" i="5"/>
  <c r="B17" i="5"/>
  <c r="A78" i="6"/>
  <c r="G44" i="5"/>
  <c r="F44" i="5"/>
  <c r="C44" i="5"/>
  <c r="E44" i="5"/>
  <c r="D44" i="5"/>
  <c r="B44" i="5"/>
  <c r="D28" i="5"/>
  <c r="A62" i="6"/>
  <c r="E28" i="5"/>
  <c r="G28" i="5"/>
  <c r="F28" i="5"/>
  <c r="C28" i="5"/>
  <c r="B28" i="5"/>
  <c r="C25" i="5"/>
  <c r="B25" i="5"/>
  <c r="A59" i="6"/>
  <c r="G25" i="5"/>
  <c r="F25" i="5"/>
  <c r="D25" i="5"/>
  <c r="E25" i="5"/>
  <c r="G40" i="5"/>
  <c r="F40" i="5"/>
  <c r="E40" i="5"/>
  <c r="C40" i="5"/>
  <c r="B40" i="5"/>
  <c r="A74" i="6"/>
  <c r="D40" i="5"/>
  <c r="D23" i="5"/>
  <c r="C23" i="5"/>
  <c r="B23" i="5"/>
  <c r="G23" i="5"/>
  <c r="F23" i="5"/>
  <c r="A57" i="6"/>
  <c r="E23" i="5"/>
  <c r="A43" i="6"/>
  <c r="G9" i="5"/>
  <c r="F9" i="5"/>
  <c r="E9" i="5"/>
  <c r="C9" i="5"/>
  <c r="B9" i="5"/>
  <c r="D9" i="5"/>
  <c r="D29" i="5"/>
  <c r="C29" i="5"/>
  <c r="E29" i="5"/>
  <c r="B29" i="5"/>
  <c r="G29" i="5"/>
  <c r="A63" i="6"/>
  <c r="F29" i="5"/>
  <c r="A70" i="6"/>
  <c r="G36" i="5"/>
  <c r="E36" i="5"/>
  <c r="D36" i="5"/>
  <c r="C36" i="5"/>
  <c r="F36" i="5"/>
  <c r="B36" i="5"/>
  <c r="A56" i="6"/>
  <c r="F22" i="5"/>
  <c r="E22" i="5"/>
  <c r="B22" i="5"/>
  <c r="D22" i="5"/>
  <c r="C22" i="5"/>
  <c r="G22" i="5"/>
  <c r="F41" i="5"/>
  <c r="G41" i="5"/>
  <c r="C41" i="5"/>
  <c r="B41" i="5"/>
  <c r="A75" i="6"/>
  <c r="E41" i="5"/>
  <c r="D41" i="5"/>
  <c r="E43" i="5"/>
  <c r="D43" i="5"/>
  <c r="C43" i="5"/>
  <c r="A77" i="6"/>
  <c r="G43" i="5"/>
  <c r="F43" i="5"/>
  <c r="B43" i="5"/>
  <c r="B46" i="5"/>
  <c r="A80" i="6"/>
  <c r="G46" i="5"/>
  <c r="F46" i="5"/>
  <c r="E46" i="5"/>
  <c r="D46" i="5"/>
  <c r="C46" i="5"/>
  <c r="G7" i="5"/>
  <c r="B7" i="5"/>
  <c r="A41" i="6"/>
  <c r="E7" i="5"/>
  <c r="F7" i="5"/>
  <c r="D7" i="5"/>
  <c r="C7" i="5"/>
  <c r="F16" i="5"/>
  <c r="E16" i="5"/>
  <c r="D16" i="5"/>
  <c r="C16" i="5"/>
  <c r="B16" i="5"/>
  <c r="A50" i="6"/>
  <c r="G16" i="5"/>
  <c r="C11" i="5"/>
  <c r="G11" i="5"/>
  <c r="D11" i="5"/>
  <c r="E11" i="5"/>
  <c r="A45" i="6"/>
  <c r="F11" i="5"/>
  <c r="B11" i="5"/>
  <c r="G15" i="5"/>
  <c r="F15" i="5"/>
  <c r="E15" i="5"/>
  <c r="D15" i="5"/>
  <c r="B15" i="5"/>
  <c r="C15" i="5"/>
  <c r="A49" i="6"/>
  <c r="B10" i="5"/>
  <c r="E10" i="5"/>
  <c r="D10" i="5"/>
  <c r="C10" i="5"/>
  <c r="A44" i="6"/>
  <c r="G10" i="5"/>
  <c r="F10" i="5"/>
  <c r="A73" i="6"/>
  <c r="G39" i="5"/>
  <c r="F39" i="5"/>
  <c r="C39" i="5"/>
  <c r="E39" i="5"/>
  <c r="D39" i="5"/>
  <c r="B39" i="5"/>
  <c r="F38" i="5"/>
  <c r="C38" i="5"/>
  <c r="D38" i="5"/>
  <c r="B38" i="5"/>
  <c r="G38" i="5"/>
  <c r="E38" i="5"/>
  <c r="A72" i="6"/>
  <c r="F45" i="5"/>
  <c r="E45" i="5"/>
  <c r="B45" i="5"/>
  <c r="G45" i="5"/>
  <c r="A79" i="6"/>
  <c r="C45" i="5"/>
  <c r="D45" i="5"/>
  <c r="G20" i="5"/>
  <c r="F20" i="5"/>
  <c r="A54" i="6"/>
  <c r="D20" i="5"/>
  <c r="C20" i="5"/>
  <c r="B20" i="5"/>
  <c r="E20" i="5"/>
  <c r="E21" i="5"/>
  <c r="B21" i="5"/>
  <c r="G21" i="5"/>
  <c r="F21" i="5"/>
  <c r="C21" i="5"/>
  <c r="D21" i="5"/>
  <c r="A55" i="6"/>
  <c r="F37" i="5"/>
  <c r="E37" i="5"/>
  <c r="G37" i="5"/>
  <c r="D37" i="5"/>
  <c r="B37" i="5"/>
  <c r="A71" i="6"/>
  <c r="C37" i="5"/>
  <c r="A66" i="6"/>
  <c r="F32" i="5"/>
  <c r="G32" i="5"/>
  <c r="D32" i="5"/>
  <c r="B32" i="5"/>
  <c r="E32" i="5"/>
  <c r="C32" i="5"/>
  <c r="A47" i="6"/>
  <c r="G13" i="5"/>
  <c r="E13" i="5"/>
  <c r="D13" i="5"/>
  <c r="C13" i="5"/>
  <c r="B13" i="5"/>
  <c r="F13" i="5"/>
  <c r="A53" i="6"/>
  <c r="F19" i="5"/>
  <c r="E19" i="5"/>
  <c r="D19" i="5"/>
  <c r="B19" i="5"/>
  <c r="G19" i="5"/>
  <c r="C19" i="5"/>
  <c r="B42" i="5"/>
  <c r="C42" i="5"/>
  <c r="E42" i="5"/>
  <c r="D42" i="5"/>
  <c r="A76" i="6"/>
  <c r="F42" i="5"/>
  <c r="G42" i="5"/>
  <c r="C12" i="5"/>
  <c r="A46" i="6"/>
  <c r="B12" i="5"/>
  <c r="E12" i="5"/>
  <c r="D12" i="5"/>
  <c r="F12" i="5"/>
  <c r="G12" i="5"/>
  <c r="E33" i="5"/>
  <c r="D33" i="5"/>
  <c r="F33" i="5"/>
  <c r="C33" i="5"/>
  <c r="B33" i="5"/>
  <c r="A67" i="6"/>
  <c r="G33" i="5"/>
  <c r="G34" i="5"/>
  <c r="E34" i="5"/>
  <c r="D34" i="5"/>
  <c r="C34" i="5"/>
  <c r="B34" i="5"/>
  <c r="A68" i="6"/>
  <c r="F34" i="5"/>
  <c r="C35" i="5"/>
  <c r="F35" i="5"/>
  <c r="E35" i="5"/>
  <c r="D35" i="5"/>
  <c r="B35" i="5"/>
  <c r="A69" i="6"/>
  <c r="G35" i="5"/>
  <c r="G30" i="5"/>
  <c r="F30" i="5"/>
  <c r="E30" i="5"/>
  <c r="A64" i="6"/>
  <c r="C30" i="5"/>
  <c r="B30" i="5"/>
  <c r="D30" i="5"/>
  <c r="E24" i="5"/>
  <c r="A58" i="6"/>
  <c r="G24" i="5"/>
  <c r="F24" i="5"/>
  <c r="D24" i="5"/>
  <c r="C24" i="5"/>
  <c r="B24" i="5"/>
  <c r="F8" i="5"/>
  <c r="E8" i="5"/>
  <c r="D8" i="5"/>
  <c r="B8" i="5"/>
  <c r="A42" i="6"/>
  <c r="C8" i="5"/>
  <c r="G8" i="5"/>
  <c r="C70" i="6" l="1"/>
  <c r="B70" i="6"/>
  <c r="D70" i="6"/>
  <c r="D44" i="6"/>
  <c r="C44" i="6"/>
  <c r="B44" i="6"/>
  <c r="D51" i="6"/>
  <c r="C51" i="6"/>
  <c r="B51" i="6"/>
  <c r="D42" i="6"/>
  <c r="C42" i="6"/>
  <c r="B42" i="6"/>
  <c r="D68" i="6"/>
  <c r="C68" i="6"/>
  <c r="B68" i="6"/>
  <c r="D49" i="6"/>
  <c r="C49" i="6"/>
  <c r="B49" i="6"/>
  <c r="D41" i="6"/>
  <c r="C41" i="6"/>
  <c r="B41" i="6"/>
  <c r="D47" i="6"/>
  <c r="C47" i="6"/>
  <c r="B47" i="6"/>
  <c r="B46" i="6"/>
  <c r="D46" i="6"/>
  <c r="C46" i="6"/>
  <c r="B54" i="6"/>
  <c r="D54" i="6"/>
  <c r="C54" i="6"/>
  <c r="D75" i="6"/>
  <c r="C75" i="6"/>
  <c r="B75" i="6"/>
  <c r="D72" i="6"/>
  <c r="C72" i="6"/>
  <c r="B72" i="6"/>
  <c r="B48" i="6"/>
  <c r="C48" i="6"/>
  <c r="D48" i="6"/>
  <c r="C77" i="6"/>
  <c r="D77" i="6"/>
  <c r="B77" i="6"/>
  <c r="D50" i="6"/>
  <c r="C50" i="6"/>
  <c r="B50" i="6"/>
  <c r="C66" i="6"/>
  <c r="B66" i="6"/>
  <c r="D66" i="6"/>
  <c r="D59" i="6"/>
  <c r="C59" i="6"/>
  <c r="B59" i="6"/>
  <c r="D43" i="6"/>
  <c r="B43" i="6"/>
  <c r="C43" i="6"/>
  <c r="D52" i="6"/>
  <c r="C52" i="6"/>
  <c r="B52" i="6"/>
  <c r="D78" i="6"/>
  <c r="C78" i="6"/>
  <c r="B78" i="6"/>
  <c r="D69" i="6"/>
  <c r="B69" i="6"/>
  <c r="C69" i="6"/>
  <c r="D73" i="6"/>
  <c r="B73" i="6"/>
  <c r="C73" i="6"/>
  <c r="D60" i="6"/>
  <c r="C60" i="6"/>
  <c r="B60" i="6"/>
  <c r="D76" i="6"/>
  <c r="C76" i="6"/>
  <c r="B76" i="6"/>
  <c r="C71" i="6"/>
  <c r="B71" i="6"/>
  <c r="D71" i="6"/>
  <c r="D64" i="6"/>
  <c r="B64" i="6"/>
  <c r="C64" i="6"/>
  <c r="D74" i="6"/>
  <c r="C74" i="6"/>
  <c r="B74" i="6"/>
  <c r="D63" i="6"/>
  <c r="C63" i="6"/>
  <c r="B63" i="6"/>
  <c r="D56" i="6"/>
  <c r="C56" i="6"/>
  <c r="B56" i="6"/>
  <c r="D62" i="6"/>
  <c r="C62" i="6"/>
  <c r="B62" i="6"/>
  <c r="D65" i="6"/>
  <c r="C65" i="6"/>
  <c r="B65" i="6"/>
  <c r="D67" i="6"/>
  <c r="C67" i="6"/>
  <c r="B67" i="6"/>
  <c r="D55" i="6"/>
  <c r="C55" i="6"/>
  <c r="B55" i="6"/>
  <c r="D53" i="6"/>
  <c r="C53" i="6"/>
  <c r="B53" i="6"/>
  <c r="D61" i="6"/>
  <c r="B61" i="6"/>
  <c r="C61" i="6"/>
  <c r="D79" i="6"/>
  <c r="C79" i="6"/>
  <c r="B79" i="6"/>
  <c r="B58" i="6"/>
  <c r="D58" i="6"/>
  <c r="C58" i="6"/>
  <c r="B57" i="6"/>
  <c r="D57" i="6"/>
  <c r="C57" i="6"/>
  <c r="D45" i="6"/>
  <c r="C45" i="6"/>
  <c r="B45" i="6"/>
  <c r="D80" i="6"/>
  <c r="C80" i="6"/>
  <c r="B80" i="6"/>
</calcChain>
</file>

<file path=xl/sharedStrings.xml><?xml version="1.0" encoding="utf-8"?>
<sst xmlns="http://schemas.openxmlformats.org/spreadsheetml/2006/main" count="370" uniqueCount="72">
  <si>
    <t>Extra Repayment &amp; Payoff Planner</t>
  </si>
  <si>
    <t>Required repayment</t>
  </si>
  <si>
    <t>Total repaid</t>
  </si>
  <si>
    <t>Total interest</t>
  </si>
  <si>
    <t>Principal repaid</t>
  </si>
  <si>
    <t>Remaining balance</t>
  </si>
  <si>
    <t>Payoff date</t>
  </si>
  <si>
    <t>Period count</t>
  </si>
  <si>
    <t>Interest saved</t>
  </si>
  <si>
    <t>Months saved</t>
  </si>
  <si>
    <t>Years / months saved</t>
  </si>
  <si>
    <t>Extra contributions</t>
  </si>
  <si>
    <t>Change the green input cells on Loan Inputs. This is a constant-rate principal-and-interest estimate, not a lender quote. Final payments are capped at the remaining balance plus interest.</t>
  </si>
  <si>
    <t>Reviewed 17 October 2026. AUD. No fees, taxes, rate changes or missed repayments. General information, not personal financial advice. No macros, external workbook links or tracking.</t>
  </si>
  <si>
    <t>Loan Inputs</t>
  </si>
  <si>
    <t>Loan balance (AUD)</t>
  </si>
  <si>
    <t>Editable input. From $0 to $100,000,000.</t>
  </si>
  <si>
    <t>Annual interest rate</t>
  </si>
  <si>
    <t>Enter a percentage, for example 6.39%. Constant illustrative rate; not a current lender offer.</t>
  </si>
  <si>
    <t>Term (whole years)</t>
  </si>
  <si>
    <t>1–40 whole years. Principal and interest only.</t>
  </si>
  <si>
    <t>Projection start date</t>
  </si>
  <si>
    <t>First repayment is one period after this date. Dates are estimates.</t>
  </si>
  <si>
    <t>Repayment frequency</t>
  </si>
  <si>
    <t>monthly</t>
  </si>
  <si>
    <t>True periodic rate: annual rate / 12, 26 or 52. Not accelerated half-monthly payments.</t>
  </si>
  <si>
    <t>Extra amount (AUD)</t>
  </si>
  <si>
    <t>Amount for the extra frequency below. Spread evenly over base repayment periods.</t>
  </si>
  <si>
    <t>Extra frequency</t>
  </si>
  <si>
    <t>Annual extra = entered extra × 12 / 26 / 52, then spread over base periods.</t>
  </si>
  <si>
    <t>Inputs valid</t>
  </si>
  <si>
    <t>Periods per year</t>
  </si>
  <si>
    <t>Rate per period</t>
  </si>
  <si>
    <t>Scheduled periods</t>
  </si>
  <si>
    <t>Scheduled payment</t>
  </si>
  <si>
    <t>Extra per base period</t>
  </si>
  <si>
    <t>Green-shaded cells are editable. White cells contain protected formulas. Blank, text, negative or out-of-range required inputs make outputs unavailable. Zero loan and zero interest are supported.</t>
  </si>
  <si>
    <t>Model sources: Calcy mortgageEngine.ts / extraRepayments.ts / offset.ts (release 66c4b53). Overview: https://calcy.com.au/methodology</t>
  </si>
  <si>
    <t>Extra Repayment Scenarios</t>
  </si>
  <si>
    <t>Scenario</t>
  </si>
  <si>
    <t>Monthly extra</t>
  </si>
  <si>
    <t>Periods</t>
  </si>
  <si>
    <t>Interest</t>
  </si>
  <si>
    <t>Extra paid</t>
  </si>
  <si>
    <t>No extra</t>
  </si>
  <si>
    <t>+$100 / month</t>
  </si>
  <si>
    <t>+$250 / month</t>
  </si>
  <si>
    <t>+$500 / month</t>
  </si>
  <si>
    <t>+$1,000 / month</t>
  </si>
  <si>
    <t>Custom</t>
  </si>
  <si>
    <t>Preset extras are monthly amounts. Custom converts the entered amount/frequency to annual spending, then distributes it evenly over the base repayment periods. Payoff dates use the web engine’s rounded-month convention.</t>
  </si>
  <si>
    <t>Repayment Schedule</t>
  </si>
  <si>
    <t>Period</t>
  </si>
  <si>
    <t>Payment date</t>
  </si>
  <si>
    <t>Opening balance</t>
  </si>
  <si>
    <t>Payment</t>
  </si>
  <si>
    <t>Principal</t>
  </si>
  <si>
    <t>Closing balance</t>
  </si>
  <si>
    <t>Annual Summary</t>
  </si>
  <si>
    <t>Loan year</t>
  </si>
  <si>
    <t>Principal paid</t>
  </si>
  <si>
    <t>Interest paid</t>
  </si>
  <si>
    <t>Payments</t>
  </si>
  <si>
    <t>Charts</t>
  </si>
  <si>
    <t>Instructions</t>
  </si>
  <si>
    <t>1. Save a personal copy. Open the inputs sheet and change the green-shaded cells. Enter rates as percentages. Choose monthly, fortnightly or weekly.</t>
  </si>
  <si>
    <t>2. Read Dashboard and the detailed schedule. Formulas are protected against accidental edits; input cells remain editable. Workbook protection is not encryption.</t>
  </si>
  <si>
    <t>3. Rates remain constant. Interest accrues each model period before repayment. Values use full precision; display rounding does not change the calculation. Dates are estimates, not contractual deadlines.</t>
  </si>
  <si>
    <t>Extra frequency is annualised and spread across base periods, as in the web engine. Presets are monthly. Payoff months are rounded to the nearest month. Scheduled payments are applied before extras; there are no lump sums.</t>
  </si>
  <si>
    <t>Print Dashboard or Charts for a compact overview. Print Entire Workbook for the schedules too. Annual Summary groups loan years, not financial years.</t>
  </si>
  <si>
    <t>Authoritative context: https://moneysmart.gov.au/home-loans/pay-off-your-mortgage-faster and https://moneysmart.gov.au/home-loans/mortgage-offset-accounts. Calculation methodology: https://calcy.com.au/methodology</t>
  </si>
  <si>
    <t>Check lender repayment limits, break costs, offset eligibility, fees and actual statements before acting. Keep a copy of your assumptions. Contact https://calcy.com.au/contact to report a calculation issue.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</si>
</sst>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quot;$&quot;#,##0.00\);&quot;$&quot;0.00"/>
    <numFmt numFmtId="165" formatCode="d\ mmm\ yyyy"/>
  </numFmts>
  <fonts count="7">
    <font>
      <sz val="11"/>
      <name val="Carlito"/>
    </font>
    <font>
      <sz val="10"/>
      <color rgb="FF17201B"/>
      <name val="Arial"/>
    </font>
    <font>
      <b/>
      <sz val="14"/>
      <color rgb="FFFFFFFF"/>
      <name val="Arial"/>
    </font>
    <font>
      <b/>
      <sz val="10"/>
      <color rgb="FF2D6A4F"/>
      <name val="Arial"/>
    </font>
    <font>
      <sz val="10"/>
      <color rgb="FF5F6D65"/>
      <name val="Arial"/>
    </font>
    <font>
      <b/>
      <sz val="10"/>
      <color rgb="FFFFFFFF"/>
      <name val="Arial"/>
    </font>
    <font>
      <b/>
      <sz val="12"/>
      <color rgb="FF2D6A4F"/>
      <name val="Arial"/>
    </font>
  </fonts>
  <fills count="4">
    <fill>
      <patternFill patternType="none"/>
    </fill>
    <fill>
      <patternFill patternType="gray125"/>
    </fill>
    <fill>
      <patternFill patternType="solid">
        <fgColor rgb="FF2D6A4F"/>
      </patternFill>
    </fill>
    <fill>
      <patternFill patternType="solid">
        <fgColor rgb="FFEAF4EE"/>
      </patternFill>
    </fill>
  </fills>
  <borders count="1">
    <border>
      <left/>
      <right/>
      <top/>
      <bottom/>
      <diagonal/>
    </border>
  </borders>
  <cellStyleXfs count="1">
    <xf numFmtId="0" fontId="0" fillId="0" borderId="0"/>
  </cellStyleXfs>
  <cellXfs count="15">
    <xf numFmtId="0" fontId="0" fillId="0" borderId="0" xfId="0"/>
    <xf numFmtId="0" fontId="1" fillId="0" borderId="0" xfId="0" applyNumberFormat="1" applyFont="1" applyFill="1" applyBorder="1" applyAlignment="1">
      <alignment vertical="center"/>
    </xf>
    <xf numFmtId="164" fontId="1" fillId="0" borderId="0" xfId="0" applyNumberFormat="1" applyFont="1" applyFill="1" applyBorder="1" applyAlignment="1">
      <alignment vertical="center"/>
    </xf>
    <xf numFmtId="0" fontId="5" fillId="2" borderId="0" xfId="0" applyNumberFormat="1" applyFont="1" applyFill="1" applyBorder="1" applyAlignment="1">
      <alignment vertical="center" wrapText="1"/>
    </xf>
    <xf numFmtId="165" fontId="1" fillId="0" borderId="0" xfId="0" applyNumberFormat="1" applyFont="1" applyFill="1" applyBorder="1" applyAlignment="1">
      <alignment vertical="center"/>
    </xf>
    <xf numFmtId="164" fontId="6" fillId="0" borderId="0" xfId="0" applyNumberFormat="1" applyFont="1" applyFill="1" applyBorder="1" applyAlignment="1">
      <alignment vertical="center"/>
    </xf>
    <xf numFmtId="1" fontId="6" fillId="0" borderId="0" xfId="0" applyNumberFormat="1" applyFont="1" applyFill="1" applyBorder="1" applyAlignment="1">
      <alignment vertical="center"/>
    </xf>
    <xf numFmtId="165" fontId="6" fillId="0" borderId="0" xfId="0" applyNumberFormat="1" applyFont="1" applyFill="1" applyBorder="1" applyAlignment="1">
      <alignment vertical="center"/>
    </xf>
    <xf numFmtId="164" fontId="3" fillId="3" borderId="0" xfId="0" applyNumberFormat="1" applyFont="1" applyFill="1" applyBorder="1" applyAlignment="1" applyProtection="1">
      <alignment vertical="center"/>
      <protection locked="0"/>
    </xf>
    <xf numFmtId="10" fontId="3" fillId="3" borderId="0" xfId="0" applyNumberFormat="1" applyFont="1" applyFill="1" applyBorder="1" applyAlignment="1" applyProtection="1">
      <alignment vertical="center"/>
      <protection locked="0"/>
    </xf>
    <xf numFmtId="0" fontId="3" fillId="3" borderId="0" xfId="0" applyNumberFormat="1" applyFont="1"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0" fontId="2" fillId="2" borderId="0" xfId="0" applyNumberFormat="1" applyFont="1" applyFill="1" applyBorder="1" applyAlignment="1">
      <alignment vertical="center"/>
    </xf>
    <xf numFmtId="0" fontId="1" fillId="0" borderId="0" xfId="0" applyNumberFormat="1" applyFont="1" applyFill="1" applyBorder="1" applyAlignment="1">
      <alignment vertical="center" wrapText="1"/>
    </xf>
    <xf numFmtId="0" fontId="4" fillId="0" borderId="0"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US" sz="900">
                <a:latin typeface="Arial"/>
                <a:ea typeface="Arial"/>
                <a:cs typeface="Arial"/>
              </a:rPr>
              <a:t>Balance over time (AUD)</a:t>
            </a:r>
          </a:p>
        </c:rich>
      </c:tx>
      <c:overlay val="0"/>
    </c:title>
    <c:autoTitleDeleted val="0"/>
    <c:plotArea>
      <c:layout/>
      <c:lineChart>
        <c:grouping val="standard"/>
        <c:varyColors val="0"/>
        <c:ser>
          <c:idx val="0"/>
          <c:order val="0"/>
          <c:tx>
            <c:v>Closing balance</c:v>
          </c:tx>
          <c:spPr>
            <a:ln w="19050">
              <a:solidFill>
                <a:srgbClr val="2D6A4F"/>
              </a:solidFill>
              <a:prstDash val="solid"/>
            </a:ln>
          </c:spPr>
          <c:marker>
            <c:symbol val="none"/>
          </c:marker>
          <c:cat>
            <c:numRef>
              <c:f>[0]!ChartYears</c:f>
              <c:numCache>
                <c:formatCode>General</c:formatCode>
                <c:ptCount val="2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numCache>
            </c:numRef>
          </c:cat>
          <c:val>
            <c:numRef>
              <c:f>[0]!ChartBalance</c:f>
              <c:numCache>
                <c:formatCode>General</c:formatCode>
                <c:ptCount val="26"/>
                <c:pt idx="0">
                  <c:v>639492.39913048479</c:v>
                </c:pt>
                <c:pt idx="1">
                  <c:v>628293.34462664521</c:v>
                </c:pt>
                <c:pt idx="2">
                  <c:v>616357.3353189606</c:v>
                </c:pt>
                <c:pt idx="3">
                  <c:v>603635.87582929677</c:v>
                </c:pt>
                <c:pt idx="4">
                  <c:v>590077.27953673422</c:v>
                </c:pt>
                <c:pt idx="5">
                  <c:v>575626.45857754722</c:v>
                </c:pt>
                <c:pt idx="6">
                  <c:v>560224.70002610842</c:v>
                </c:pt>
                <c:pt idx="7">
                  <c:v>543809.42734736053</c:v>
                </c:pt>
                <c:pt idx="8">
                  <c:v>526313.94615164516</c:v>
                </c:pt>
                <c:pt idx="9">
                  <c:v>507667.1732189047</c:v>
                </c:pt>
                <c:pt idx="10">
                  <c:v>487793.34769129741</c:v>
                </c:pt>
                <c:pt idx="11">
                  <c:v>466611.72326081601</c:v>
                </c:pt>
                <c:pt idx="12">
                  <c:v>444036.24010128435</c:v>
                </c:pt>
                <c:pt idx="13">
                  <c:v>419975.17521180952</c:v>
                </c:pt>
                <c:pt idx="14">
                  <c:v>394330.76975105272</c:v>
                </c:pt>
                <c:pt idx="15">
                  <c:v>366998.83184819773</c:v>
                </c:pt>
                <c:pt idx="16">
                  <c:v>337868.31327685865</c:v>
                </c:pt>
                <c:pt idx="17">
                  <c:v>306820.85827197635</c:v>
                </c:pt>
                <c:pt idx="18">
                  <c:v>273730.32265656861</c:v>
                </c:pt>
                <c:pt idx="19">
                  <c:v>238462.26132457287</c:v>
                </c:pt>
                <c:pt idx="20">
                  <c:v>200873.3819974502</c:v>
                </c:pt>
                <c:pt idx="21">
                  <c:v>160810.96303519324</c:v>
                </c:pt>
                <c:pt idx="22">
                  <c:v>118112.23293633386</c:v>
                </c:pt>
                <c:pt idx="23">
                  <c:v>72603.709005892422</c:v>
                </c:pt>
                <c:pt idx="24">
                  <c:v>24100.492504311165</c:v>
                </c:pt>
                <c:pt idx="25">
                  <c:v>0</c:v>
                </c:pt>
              </c:numCache>
            </c:numRef>
          </c:val>
          <c:smooth val="0"/>
          <c:extLst>
            <c:ext xmlns:c16="http://schemas.microsoft.com/office/drawing/2014/chart" uri="{C3380CC4-5D6E-409C-BE32-E72D297353CC}">
              <c16:uniqueId val="{00000000-F480-49D8-B736-455BE9154D79}"/>
            </c:ext>
          </c:extLst>
        </c:ser>
        <c:dLbls>
          <c:showLegendKey val="0"/>
          <c:showVal val="0"/>
          <c:showCatName val="0"/>
          <c:showSerName val="0"/>
          <c:showPercent val="0"/>
          <c:showBubbleSize val="0"/>
        </c:dLbls>
        <c:smooth val="0"/>
        <c:axId val="48650112"/>
        <c:axId val="48672768"/>
      </c:line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txPr>
          <a:bodyPr anchorCtr="1"/>
          <a:lstStyle/>
          <a:p>
            <a:pPr>
              <a:defRPr sz="750">
                <a:latin typeface="Arial"/>
                <a:ea typeface="Arial"/>
                <a:cs typeface="Arial"/>
              </a:defRPr>
            </a:pPr>
            <a:endParaRPr lang="en-US"/>
          </a:p>
        </c:txPr>
        <c:crossAx val="48672768"/>
        <c:crosses val="autoZero"/>
        <c:auto val="1"/>
        <c:lblAlgn val="ctr"/>
        <c:lblOffset val="100"/>
        <c:noMultiLvlLbl val="1"/>
      </c:catAx>
      <c:valAx>
        <c:axId val="48672768"/>
        <c:scaling>
          <c:orientation val="minMax"/>
        </c:scaling>
        <c:delete val="0"/>
        <c:axPos val="l"/>
        <c:majorGridlines>
          <c:spPr>
            <a:ln w="9525">
              <a:solidFill>
                <a:srgbClr val="CCCCCC"/>
              </a:solidFill>
              <a:prstDash val="dash"/>
            </a:ln>
          </c:spPr>
        </c:majorGridlines>
        <c:numFmt formatCode="\$#,##0" sourceLinked="0"/>
        <c:majorTickMark val="none"/>
        <c:minorTickMark val="none"/>
        <c:tickLblPos val="nextTo"/>
        <c:txPr>
          <a:bodyPr anchorCtr="1"/>
          <a:lstStyle/>
          <a:p>
            <a:pPr>
              <a:defRPr sz="750">
                <a:latin typeface="Arial"/>
                <a:ea typeface="Arial"/>
                <a:cs typeface="Arial"/>
              </a:defRPr>
            </a:pPr>
            <a:endParaRPr lang="en-US"/>
          </a:p>
        </c:txPr>
        <c:crossAx val="48650112"/>
        <c:crosses val="autoZero"/>
        <c:crossBetween val="between"/>
      </c:valAx>
    </c:plotArea>
    <c:legend>
      <c:legendPos val="t"/>
      <c:overlay val="0"/>
      <c:txPr>
        <a:bodyPr anchorCtr="1"/>
        <a:lstStyle/>
        <a:p>
          <a:pPr>
            <a:defRPr sz="750">
              <a:latin typeface="Arial"/>
              <a:ea typeface="Arial"/>
              <a:cs typeface="Arial"/>
            </a:defRPr>
          </a:pPr>
          <a:endParaRPr lang="en-US"/>
        </a:p>
      </c:txPr>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US" sz="900">
                <a:latin typeface="Arial"/>
                <a:ea typeface="Arial"/>
                <a:cs typeface="Arial"/>
              </a:rPr>
              <a:t>Annual principal and interest (AUD)</a:t>
            </a:r>
          </a:p>
        </c:rich>
      </c:tx>
      <c:overlay val="0"/>
    </c:title>
    <c:autoTitleDeleted val="0"/>
    <c:plotArea>
      <c:layout/>
      <c:lineChart>
        <c:grouping val="standard"/>
        <c:varyColors val="0"/>
        <c:ser>
          <c:idx val="0"/>
          <c:order val="0"/>
          <c:tx>
            <c:v>Principal paid</c:v>
          </c:tx>
          <c:spPr>
            <a:ln w="19050">
              <a:solidFill>
                <a:srgbClr val="2D6A4F"/>
              </a:solidFill>
              <a:prstDash val="solid"/>
            </a:ln>
          </c:spPr>
          <c:marker>
            <c:symbol val="none"/>
          </c:marker>
          <c:cat>
            <c:numRef>
              <c:f>[0]!ChartYears</c:f>
              <c:numCache>
                <c:formatCode>General</c:formatCode>
                <c:ptCount val="2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numCache>
            </c:numRef>
          </c:cat>
          <c:val>
            <c:numRef>
              <c:f>[0]!ChartPrincipal</c:f>
              <c:numCache>
                <c:formatCode>General</c:formatCode>
                <c:ptCount val="26"/>
                <c:pt idx="0">
                  <c:v>10507.600869515241</c:v>
                </c:pt>
                <c:pt idx="1">
                  <c:v>11199.054503839572</c:v>
                </c:pt>
                <c:pt idx="2">
                  <c:v>11936.009307684664</c:v>
                </c:pt>
                <c:pt idx="3">
                  <c:v>12721.45948966405</c:v>
                </c:pt>
                <c:pt idx="4">
                  <c:v>13558.596292562395</c:v>
                </c:pt>
                <c:pt idx="5">
                  <c:v>14450.820959187105</c:v>
                </c:pt>
                <c:pt idx="6">
                  <c:v>15401.758551438928</c:v>
                </c:pt>
                <c:pt idx="7">
                  <c:v>16415.272678747944</c:v>
                </c:pt>
                <c:pt idx="8">
                  <c:v>17495.481195715402</c:v>
                </c:pt>
                <c:pt idx="9">
                  <c:v>18646.772932740481</c:v>
                </c:pt>
                <c:pt idx="10">
                  <c:v>19873.82552760734</c:v>
                </c:pt>
                <c:pt idx="11">
                  <c:v>21181.624430481505</c:v>
                </c:pt>
                <c:pt idx="12">
                  <c:v>22575.483159531708</c:v>
                </c:pt>
                <c:pt idx="13">
                  <c:v>24061.064889474794</c:v>
                </c:pt>
                <c:pt idx="14">
                  <c:v>25644.405460756738</c:v>
                </c:pt>
                <c:pt idx="15">
                  <c:v>27331.937902855003</c:v>
                </c:pt>
                <c:pt idx="16">
                  <c:v>29130.51857133902</c:v>
                </c:pt>
                <c:pt idx="17">
                  <c:v>31047.455004882297</c:v>
                </c:pt>
                <c:pt idx="18">
                  <c:v>33090.535615407745</c:v>
                </c:pt>
                <c:pt idx="19">
                  <c:v>35268.061331995785</c:v>
                </c:pt>
                <c:pt idx="20">
                  <c:v>37588.879327122668</c:v>
                </c:pt>
                <c:pt idx="21">
                  <c:v>40062.418962256968</c:v>
                </c:pt>
                <c:pt idx="22">
                  <c:v>42698.730098859414</c:v>
                </c:pt>
                <c:pt idx="23">
                  <c:v>45508.523930441443</c:v>
                </c:pt>
                <c:pt idx="24">
                  <c:v>48503.21650158125</c:v>
                </c:pt>
                <c:pt idx="25">
                  <c:v>24100.492504311169</c:v>
                </c:pt>
              </c:numCache>
            </c:numRef>
          </c:val>
          <c:smooth val="0"/>
          <c:extLst>
            <c:ext xmlns:c16="http://schemas.microsoft.com/office/drawing/2014/chart" uri="{C3380CC4-5D6E-409C-BE32-E72D297353CC}">
              <c16:uniqueId val="{00000000-1BFA-4BD2-838E-6BE58A6CBD0E}"/>
            </c:ext>
          </c:extLst>
        </c:ser>
        <c:ser>
          <c:idx val="1"/>
          <c:order val="1"/>
          <c:tx>
            <c:v>Interest paid</c:v>
          </c:tx>
          <c:spPr>
            <a:ln w="19050">
              <a:solidFill>
                <a:srgbClr val="AC915B"/>
              </a:solidFill>
              <a:prstDash val="dash"/>
            </a:ln>
          </c:spPr>
          <c:marker>
            <c:symbol val="none"/>
          </c:marker>
          <c:cat>
            <c:numRef>
              <c:f>[0]!ChartYears</c:f>
              <c:numCache>
                <c:formatCode>General</c:formatCode>
                <c:ptCount val="2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numCache>
            </c:numRef>
          </c:cat>
          <c:val>
            <c:numRef>
              <c:f>[0]!ChartInterest</c:f>
              <c:numCache>
                <c:formatCode>General</c:formatCode>
                <c:ptCount val="26"/>
                <c:pt idx="0">
                  <c:v>41230.799544173002</c:v>
                </c:pt>
                <c:pt idx="1">
                  <c:v>40539.345909848664</c:v>
                </c:pt>
                <c:pt idx="2">
                  <c:v>39802.391106003575</c:v>
                </c:pt>
                <c:pt idx="3">
                  <c:v>39016.940924024195</c:v>
                </c:pt>
                <c:pt idx="4">
                  <c:v>38179.804121125839</c:v>
                </c:pt>
                <c:pt idx="5">
                  <c:v>37287.57945450113</c:v>
                </c:pt>
                <c:pt idx="6">
                  <c:v>36336.641862249307</c:v>
                </c:pt>
                <c:pt idx="7">
                  <c:v>35323.127734940288</c:v>
                </c:pt>
                <c:pt idx="8">
                  <c:v>34242.919217972827</c:v>
                </c:pt>
                <c:pt idx="9">
                  <c:v>33091.627480947755</c:v>
                </c:pt>
                <c:pt idx="10">
                  <c:v>31864.5748860809</c:v>
                </c:pt>
                <c:pt idx="11">
                  <c:v>30556.775983206742</c:v>
                </c:pt>
                <c:pt idx="12">
                  <c:v>29162.91725415652</c:v>
                </c:pt>
                <c:pt idx="13">
                  <c:v>27677.335524213442</c:v>
                </c:pt>
                <c:pt idx="14">
                  <c:v>26093.994952931498</c:v>
                </c:pt>
                <c:pt idx="15">
                  <c:v>24406.462510833229</c:v>
                </c:pt>
                <c:pt idx="16">
                  <c:v>22607.881842349216</c:v>
                </c:pt>
                <c:pt idx="17">
                  <c:v>20690.945408805939</c:v>
                </c:pt>
                <c:pt idx="18">
                  <c:v>18647.864798280487</c:v>
                </c:pt>
                <c:pt idx="19">
                  <c:v>16470.339081692444</c:v>
                </c:pt>
                <c:pt idx="20">
                  <c:v>14149.521086565568</c:v>
                </c:pt>
                <c:pt idx="21">
                  <c:v>11675.981451431264</c:v>
                </c:pt>
                <c:pt idx="22">
                  <c:v>9039.670314828827</c:v>
                </c:pt>
                <c:pt idx="23">
                  <c:v>6229.8764832467914</c:v>
                </c:pt>
                <c:pt idx="24">
                  <c:v>3235.1839121069875</c:v>
                </c:pt>
                <c:pt idx="25">
                  <c:v>433.49593691319052</c:v>
                </c:pt>
              </c:numCache>
            </c:numRef>
          </c:val>
          <c:smooth val="0"/>
          <c:extLst>
            <c:ext xmlns:c16="http://schemas.microsoft.com/office/drawing/2014/chart" uri="{C3380CC4-5D6E-409C-BE32-E72D297353CC}">
              <c16:uniqueId val="{00000001-1BFA-4BD2-838E-6BE58A6CBD0E}"/>
            </c:ext>
          </c:extLst>
        </c:ser>
        <c:dLbls>
          <c:showLegendKey val="0"/>
          <c:showVal val="0"/>
          <c:showCatName val="0"/>
          <c:showSerName val="0"/>
          <c:showPercent val="0"/>
          <c:showBubbleSize val="0"/>
        </c:dLbls>
        <c:smooth val="0"/>
        <c:axId val="48650112"/>
        <c:axId val="48672768"/>
      </c:line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txPr>
          <a:bodyPr anchorCtr="1"/>
          <a:lstStyle/>
          <a:p>
            <a:pPr>
              <a:defRPr sz="750">
                <a:latin typeface="Arial"/>
                <a:ea typeface="Arial"/>
                <a:cs typeface="Arial"/>
              </a:defRPr>
            </a:pPr>
            <a:endParaRPr lang="en-US"/>
          </a:p>
        </c:txPr>
        <c:crossAx val="48672768"/>
        <c:crosses val="autoZero"/>
        <c:auto val="1"/>
        <c:lblAlgn val="ctr"/>
        <c:lblOffset val="100"/>
        <c:noMultiLvlLbl val="1"/>
      </c:catAx>
      <c:valAx>
        <c:axId val="48672768"/>
        <c:scaling>
          <c:orientation val="minMax"/>
        </c:scaling>
        <c:delete val="0"/>
        <c:axPos val="l"/>
        <c:majorGridlines>
          <c:spPr>
            <a:ln w="9525">
              <a:solidFill>
                <a:srgbClr val="CCCCCC"/>
              </a:solidFill>
              <a:prstDash val="dash"/>
            </a:ln>
          </c:spPr>
        </c:majorGridlines>
        <c:numFmt formatCode="\$#,##0" sourceLinked="0"/>
        <c:majorTickMark val="none"/>
        <c:minorTickMark val="none"/>
        <c:tickLblPos val="nextTo"/>
        <c:txPr>
          <a:bodyPr anchorCtr="1"/>
          <a:lstStyle/>
          <a:p>
            <a:pPr>
              <a:defRPr sz="750">
                <a:latin typeface="Arial"/>
                <a:ea typeface="Arial"/>
                <a:cs typeface="Arial"/>
              </a:defRPr>
            </a:pPr>
            <a:endParaRPr lang="en-US"/>
          </a:p>
        </c:txPr>
        <c:crossAx val="48650112"/>
        <c:crosses val="autoZero"/>
        <c:crossBetween val="between"/>
      </c:valAx>
    </c:plotArea>
    <c:legend>
      <c:legendPos val="t"/>
      <c:overlay val="0"/>
      <c:txPr>
        <a:bodyPr anchorCtr="1"/>
        <a:lstStyle/>
        <a:p>
          <a:pPr>
            <a:defRPr sz="750">
              <a:latin typeface="Arial"/>
              <a:ea typeface="Arial"/>
              <a:cs typeface="Arial"/>
            </a:defRPr>
          </a:pPr>
          <a:endParaRPr lang="en-US"/>
        </a:p>
      </c:txPr>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0</xdr:rowOff>
    </xdr:from>
    <xdr:to>
      <xdr:col>8</xdr:col>
      <xdr:colOff>0</xdr:colOff>
      <xdr:row>18</xdr:row>
      <xdr:rowOff>0</xdr:rowOff>
    </xdr:to>
    <xdr:graphicFrame macro="">
      <xdr:nvGraphicFramePr>
        <xdr:cNvPr id="2" name="Chart">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20</xdr:row>
      <xdr:rowOff>0</xdr:rowOff>
    </xdr:from>
    <xdr:to>
      <xdr:col>8</xdr:col>
      <xdr:colOff>0</xdr:colOff>
      <xdr:row>35</xdr:row>
      <xdr:rowOff>0</xdr:rowOff>
    </xdr:to>
    <xdr:graphicFrame macro="">
      <xdr:nvGraphicFramePr>
        <xdr:cNvPr id="3" name="Chart">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D6A4F"/>
    <pageSetUpPr fitToPage="1"/>
  </sheetPr>
  <dimension ref="A1:H90"/>
  <sheetViews>
    <sheetView showGridLines="0" tabSelected="1" zoomScaleNormal="100" workbookViewId="0">
      <selection sqref="A1:H2"/>
    </sheetView>
  </sheetViews>
  <sheetFormatPr defaultRowHeight="14.15"/>
  <cols>
    <col min="1" max="1" width="32" customWidth="1"/>
    <col min="2" max="2" width="24" customWidth="1"/>
    <col min="3" max="8" width="16" customWidth="1"/>
  </cols>
  <sheetData>
    <row r="1" spans="1:8" ht="22" customHeight="1">
      <c r="A1" s="12" t="s">
        <v>0</v>
      </c>
      <c r="B1" s="12" t="s">
        <v>0</v>
      </c>
      <c r="C1" s="12" t="s">
        <v>0</v>
      </c>
      <c r="D1" s="12" t="s">
        <v>0</v>
      </c>
      <c r="E1" s="12" t="s">
        <v>0</v>
      </c>
      <c r="F1" s="12" t="s">
        <v>0</v>
      </c>
      <c r="G1" s="12" t="s">
        <v>0</v>
      </c>
      <c r="H1" s="12" t="s">
        <v>0</v>
      </c>
    </row>
    <row r="2" spans="1:8" ht="22" customHeight="1">
      <c r="A2" s="12" t="s">
        <v>0</v>
      </c>
      <c r="B2" s="12" t="s">
        <v>0</v>
      </c>
      <c r="C2" s="12" t="s">
        <v>0</v>
      </c>
      <c r="D2" s="12" t="s">
        <v>0</v>
      </c>
      <c r="E2" s="12" t="s">
        <v>0</v>
      </c>
      <c r="F2" s="12" t="s">
        <v>0</v>
      </c>
      <c r="G2" s="12" t="s">
        <v>0</v>
      </c>
      <c r="H2" s="12" t="s">
        <v>0</v>
      </c>
    </row>
    <row r="3" spans="1:8" ht="22" customHeight="1">
      <c r="A3" s="1"/>
      <c r="B3" s="1"/>
      <c r="C3" s="1"/>
      <c r="D3" s="1"/>
      <c r="E3" s="1"/>
      <c r="F3" s="1"/>
      <c r="G3" s="1"/>
      <c r="H3" s="1"/>
    </row>
    <row r="4" spans="1:8" ht="22" customHeight="1">
      <c r="A4" s="13" t="str">
        <f>IF('Loan Inputs'!$B$12,"Illustrative constant-rate projection","Enter valid inputs on Loan Inputs; outputs are unavailable.")</f>
        <v>Illustrative constant-rate projection</v>
      </c>
      <c r="B4" s="13"/>
      <c r="C4" s="13"/>
      <c r="D4" s="13"/>
      <c r="E4" s="13"/>
      <c r="F4" s="13"/>
      <c r="G4" s="13"/>
      <c r="H4" s="13"/>
    </row>
    <row r="5" spans="1:8" ht="22" customHeight="1">
      <c r="A5" s="13"/>
      <c r="B5" s="13"/>
      <c r="C5" s="13"/>
      <c r="D5" s="13"/>
      <c r="E5" s="13"/>
      <c r="F5" s="13"/>
      <c r="G5" s="13"/>
      <c r="H5" s="13"/>
    </row>
    <row r="6" spans="1:8" ht="22" customHeight="1">
      <c r="A6" s="1"/>
      <c r="B6" s="1"/>
      <c r="C6" s="1"/>
      <c r="D6" s="1"/>
      <c r="E6" s="1"/>
      <c r="F6" s="1"/>
      <c r="G6" s="1"/>
      <c r="H6" s="1"/>
    </row>
    <row r="7" spans="1:8" ht="28" customHeight="1">
      <c r="A7" s="1" t="s">
        <v>1</v>
      </c>
      <c r="B7" s="5">
        <f>IF('Loan Inputs'!$B$12,'Loan Inputs'!$B$17,"")</f>
        <v>4061.5333678073534</v>
      </c>
      <c r="C7" s="1"/>
      <c r="D7" s="1"/>
      <c r="E7" s="1"/>
      <c r="F7" s="1"/>
      <c r="G7" s="1"/>
      <c r="H7" s="1"/>
    </row>
    <row r="8" spans="1:8" ht="28" customHeight="1">
      <c r="A8" s="1" t="s">
        <v>2</v>
      </c>
      <c r="B8" s="5">
        <f>IF('Loan Inputs'!$B$12,SUM('Repayment Schedule'!D7:D2086),"")</f>
        <v>1317993.9987834301</v>
      </c>
      <c r="C8" s="1"/>
      <c r="D8" s="1"/>
      <c r="E8" s="1"/>
      <c r="F8" s="1"/>
      <c r="G8" s="1"/>
      <c r="H8" s="1"/>
    </row>
    <row r="9" spans="1:8" ht="28" customHeight="1">
      <c r="A9" s="1" t="s">
        <v>3</v>
      </c>
      <c r="B9" s="5">
        <f>IF('Loan Inputs'!$B$12,ROUND(SUM('Repayment Schedule'!E7:E2086),0),"")</f>
        <v>667994</v>
      </c>
      <c r="C9" s="1"/>
      <c r="D9" s="1"/>
      <c r="E9" s="1"/>
      <c r="F9" s="1"/>
      <c r="G9" s="1"/>
      <c r="H9" s="1"/>
    </row>
    <row r="10" spans="1:8" ht="28" customHeight="1">
      <c r="A10" s="1" t="s">
        <v>4</v>
      </c>
      <c r="B10" s="5">
        <f>IF('Loan Inputs'!$B$12,SUM('Repayment Schedule'!F7:F2086),"")</f>
        <v>650000.00000000047</v>
      </c>
      <c r="C10" s="1"/>
      <c r="D10" s="1"/>
      <c r="E10" s="1"/>
      <c r="F10" s="1"/>
      <c r="G10" s="1"/>
      <c r="H10" s="1"/>
    </row>
    <row r="11" spans="1:8" ht="28" customHeight="1">
      <c r="A11" s="1" t="s">
        <v>5</v>
      </c>
      <c r="B11" s="5">
        <f>IF('Loan Inputs'!$B$12,IF(B13=0,0,INDEX('Repayment Schedule'!G7:G2086,B13)),"")</f>
        <v>0</v>
      </c>
      <c r="C11" s="1"/>
      <c r="D11" s="1"/>
      <c r="E11" s="1"/>
      <c r="F11" s="1"/>
      <c r="G11" s="1"/>
      <c r="H11" s="1"/>
    </row>
    <row r="12" spans="1:8" ht="28" customHeight="1">
      <c r="A12" s="1" t="s">
        <v>6</v>
      </c>
      <c r="B12" s="7">
        <f>IF('Loan Inputs'!$B$12,IF(B13=0,'Loan Inputs'!$B$8,DATE(YEAR('Loan Inputs'!$B$8),MONTH('Loan Inputs'!$B$8)+ROUND(B13/'Loan Inputs'!$B$14*12,0),DAY('Loan Inputs'!$B$8))),"")</f>
        <v>55640</v>
      </c>
      <c r="C12" s="1"/>
      <c r="D12" s="1"/>
      <c r="E12" s="1"/>
      <c r="F12" s="1"/>
      <c r="G12" s="1"/>
      <c r="H12" s="1"/>
    </row>
    <row r="13" spans="1:8" ht="28" customHeight="1">
      <c r="A13" s="1" t="s">
        <v>7</v>
      </c>
      <c r="B13" s="6">
        <f>IF('Loan Inputs'!$B$12,COUNT('Repayment Schedule'!A7:A2086),"")</f>
        <v>306</v>
      </c>
      <c r="C13" s="1"/>
      <c r="D13" s="1"/>
      <c r="E13" s="1"/>
      <c r="F13" s="1"/>
      <c r="G13" s="1"/>
      <c r="H13" s="1"/>
    </row>
    <row r="14" spans="1:8" ht="28" customHeight="1">
      <c r="A14" s="1" t="s">
        <v>8</v>
      </c>
      <c r="B14" s="5">
        <f>IF('Loan Inputs'!$B$12,'Extra Repayment Scenarios'!E12,"")</f>
        <v>144158</v>
      </c>
      <c r="C14" s="1"/>
      <c r="D14" s="1"/>
      <c r="E14" s="1"/>
      <c r="F14" s="1"/>
      <c r="G14" s="1"/>
      <c r="H14" s="1"/>
    </row>
    <row r="15" spans="1:8" ht="28" customHeight="1">
      <c r="A15" s="1" t="s">
        <v>9</v>
      </c>
      <c r="B15" s="6">
        <f>IF('Loan Inputs'!$B$12,'Extra Repayment Scenarios'!F12,"")</f>
        <v>54</v>
      </c>
      <c r="C15" s="1"/>
      <c r="D15" s="1"/>
      <c r="E15" s="1"/>
      <c r="F15" s="1"/>
      <c r="G15" s="1"/>
      <c r="H15" s="1"/>
    </row>
    <row r="16" spans="1:8" ht="28" customHeight="1">
      <c r="A16" s="1" t="s">
        <v>10</v>
      </c>
      <c r="B16" s="5" t="str">
        <f>IF('Loan Inputs'!$B$12,INT(B15/12)&amp;" years "&amp;MOD(B15,12)&amp;" months","")</f>
        <v>4 years 6 months</v>
      </c>
      <c r="C16" s="1"/>
      <c r="D16" s="1"/>
      <c r="E16" s="1"/>
      <c r="F16" s="1"/>
      <c r="G16" s="1"/>
      <c r="H16" s="1"/>
    </row>
    <row r="17" spans="1:8" ht="28" customHeight="1">
      <c r="A17" s="1" t="s">
        <v>11</v>
      </c>
      <c r="B17" s="5">
        <f>IF('Loan Inputs'!$B$12,SUM('Repayment Schedule'!H7:H2086),"")</f>
        <v>76250</v>
      </c>
      <c r="C17" s="1"/>
      <c r="D17" s="1"/>
      <c r="E17" s="1"/>
      <c r="F17" s="1"/>
      <c r="G17" s="1"/>
      <c r="H17" s="1"/>
    </row>
    <row r="18" spans="1:8" ht="28" customHeight="1">
      <c r="A18" s="1"/>
      <c r="B18" s="1"/>
      <c r="C18" s="1"/>
      <c r="D18" s="1"/>
      <c r="E18" s="1"/>
      <c r="F18" s="1"/>
      <c r="G18" s="1"/>
      <c r="H18" s="1"/>
    </row>
    <row r="19" spans="1:8" ht="22" customHeight="1">
      <c r="A19" s="1"/>
      <c r="B19" s="1"/>
      <c r="C19" s="1"/>
      <c r="D19" s="1"/>
      <c r="E19" s="1"/>
      <c r="F19" s="1"/>
      <c r="G19" s="1"/>
      <c r="H19" s="1"/>
    </row>
    <row r="20" spans="1:8" ht="22" customHeight="1">
      <c r="A20" s="1"/>
      <c r="B20" s="1"/>
      <c r="C20" s="1"/>
      <c r="D20" s="1"/>
      <c r="E20" s="1"/>
      <c r="F20" s="1"/>
      <c r="G20" s="1"/>
      <c r="H20" s="1"/>
    </row>
    <row r="21" spans="1:8" ht="24" customHeight="1">
      <c r="A21" s="14" t="s">
        <v>12</v>
      </c>
      <c r="B21" s="14" t="s">
        <v>12</v>
      </c>
      <c r="C21" s="14" t="s">
        <v>12</v>
      </c>
      <c r="D21" s="14" t="s">
        <v>12</v>
      </c>
      <c r="E21" s="14" t="s">
        <v>12</v>
      </c>
      <c r="F21" s="14" t="s">
        <v>12</v>
      </c>
      <c r="G21" s="14" t="s">
        <v>12</v>
      </c>
      <c r="H21" s="14" t="s">
        <v>12</v>
      </c>
    </row>
    <row r="22" spans="1:8" ht="24" customHeight="1">
      <c r="A22" s="14" t="s">
        <v>12</v>
      </c>
      <c r="B22" s="14" t="s">
        <v>12</v>
      </c>
      <c r="C22" s="14" t="s">
        <v>12</v>
      </c>
      <c r="D22" s="14" t="s">
        <v>12</v>
      </c>
      <c r="E22" s="14" t="s">
        <v>12</v>
      </c>
      <c r="F22" s="14" t="s">
        <v>12</v>
      </c>
      <c r="G22" s="14" t="s">
        <v>12</v>
      </c>
      <c r="H22" s="14" t="s">
        <v>12</v>
      </c>
    </row>
    <row r="23" spans="1:8" ht="22" customHeight="1">
      <c r="A23" s="1"/>
      <c r="B23" s="1"/>
      <c r="C23" s="1"/>
      <c r="D23" s="1"/>
      <c r="E23" s="1"/>
      <c r="F23" s="1"/>
      <c r="G23" s="1"/>
      <c r="H23" s="1"/>
    </row>
    <row r="24" spans="1:8" ht="22" customHeight="1">
      <c r="A24" s="1"/>
      <c r="B24" s="1"/>
      <c r="C24" s="1"/>
      <c r="D24" s="1"/>
      <c r="E24" s="1"/>
      <c r="F24" s="1"/>
      <c r="G24" s="1"/>
      <c r="H24" s="1"/>
    </row>
    <row r="25" spans="1:8" ht="24" customHeight="1">
      <c r="A25" s="14" t="s">
        <v>13</v>
      </c>
      <c r="B25" s="14" t="s">
        <v>13</v>
      </c>
      <c r="C25" s="14" t="s">
        <v>13</v>
      </c>
      <c r="D25" s="14" t="s">
        <v>13</v>
      </c>
      <c r="E25" s="14" t="s">
        <v>13</v>
      </c>
      <c r="F25" s="14" t="s">
        <v>13</v>
      </c>
      <c r="G25" s="14" t="s">
        <v>13</v>
      </c>
      <c r="H25" s="14" t="s">
        <v>13</v>
      </c>
    </row>
    <row r="26" spans="1:8" ht="24" customHeight="1">
      <c r="A26" s="14" t="s">
        <v>13</v>
      </c>
      <c r="B26" s="14" t="s">
        <v>13</v>
      </c>
      <c r="C26" s="14" t="s">
        <v>13</v>
      </c>
      <c r="D26" s="14" t="s">
        <v>13</v>
      </c>
      <c r="E26" s="14" t="s">
        <v>13</v>
      </c>
      <c r="F26" s="14" t="s">
        <v>13</v>
      </c>
      <c r="G26" s="14" t="s">
        <v>13</v>
      </c>
      <c r="H26" s="14" t="s">
        <v>13</v>
      </c>
    </row>
    <row r="27" spans="1:8" ht="22" customHeight="1">
      <c r="A27" s="1"/>
      <c r="B27" s="1"/>
      <c r="C27" s="1"/>
      <c r="D27" s="1"/>
      <c r="E27" s="1"/>
      <c r="F27" s="1"/>
      <c r="G27" s="1"/>
      <c r="H27" s="1"/>
    </row>
    <row r="28" spans="1:8" ht="22" customHeight="1">
      <c r="A28" s="1"/>
      <c r="B28" s="1"/>
      <c r="C28" s="1"/>
      <c r="D28" s="1"/>
      <c r="E28" s="1"/>
      <c r="F28" s="1"/>
      <c r="G28" s="1"/>
      <c r="H28" s="1"/>
    </row>
    <row r="29" spans="1:8" ht="22" customHeight="1">
      <c r="A29" s="1"/>
      <c r="B29" s="1"/>
      <c r="C29" s="1"/>
      <c r="D29" s="1"/>
      <c r="E29" s="1"/>
      <c r="F29" s="1"/>
      <c r="G29" s="1"/>
      <c r="H29" s="1"/>
    </row>
    <row r="30" spans="1:8" ht="22" customHeight="1">
      <c r="A30" s="1"/>
      <c r="B30" s="1"/>
      <c r="C30" s="1"/>
      <c r="D30" s="1"/>
      <c r="E30" s="1"/>
      <c r="F30" s="1"/>
      <c r="G30" s="1"/>
      <c r="H30" s="1"/>
    </row>
    <row r="31" spans="1:8" ht="22" customHeight="1">
      <c r="A31" s="1"/>
      <c r="B31" s="1"/>
      <c r="C31" s="1"/>
      <c r="D31" s="1"/>
      <c r="E31" s="1"/>
      <c r="F31" s="1"/>
      <c r="G31" s="1"/>
      <c r="H31" s="1"/>
    </row>
    <row r="32" spans="1:8" ht="22" customHeight="1">
      <c r="A32" s="1"/>
      <c r="B32" s="1"/>
      <c r="C32" s="1"/>
      <c r="D32" s="1"/>
      <c r="E32" s="1"/>
      <c r="F32" s="1"/>
      <c r="G32" s="1"/>
      <c r="H32" s="1"/>
    </row>
    <row r="33" spans="1:8" ht="22" customHeight="1">
      <c r="A33" s="1"/>
      <c r="B33" s="1"/>
      <c r="C33" s="1"/>
      <c r="D33" s="1"/>
      <c r="E33" s="1"/>
      <c r="F33" s="1"/>
      <c r="G33" s="1"/>
      <c r="H33" s="1"/>
    </row>
    <row r="34" spans="1:8" ht="22" customHeight="1">
      <c r="A34" s="1"/>
      <c r="B34" s="1"/>
      <c r="C34" s="1"/>
      <c r="D34" s="1"/>
      <c r="E34" s="1"/>
      <c r="F34" s="1"/>
      <c r="G34" s="1"/>
      <c r="H34" s="1"/>
    </row>
    <row r="35" spans="1:8" ht="22" customHeight="1">
      <c r="A35" s="1"/>
      <c r="B35" s="1"/>
      <c r="C35" s="1"/>
      <c r="D35" s="1"/>
      <c r="E35" s="1"/>
      <c r="F35" s="1"/>
      <c r="G35" s="1"/>
      <c r="H35" s="1"/>
    </row>
    <row r="36" spans="1:8" ht="22" customHeight="1">
      <c r="A36" s="1"/>
      <c r="B36" s="1"/>
      <c r="C36" s="1"/>
      <c r="D36" s="1"/>
      <c r="E36" s="1"/>
      <c r="F36" s="1"/>
      <c r="G36" s="1"/>
      <c r="H36" s="1"/>
    </row>
    <row r="37" spans="1:8" ht="22" customHeight="1">
      <c r="A37" s="1"/>
      <c r="B37" s="1"/>
      <c r="C37" s="1"/>
      <c r="D37" s="1"/>
      <c r="E37" s="1"/>
      <c r="F37" s="1"/>
      <c r="G37" s="1"/>
      <c r="H37" s="1"/>
    </row>
    <row r="38" spans="1:8" ht="22" customHeight="1">
      <c r="A38" s="1"/>
      <c r="B38" s="1"/>
      <c r="C38" s="1"/>
      <c r="D38" s="1"/>
      <c r="E38" s="1"/>
      <c r="F38" s="1"/>
      <c r="G38" s="1"/>
      <c r="H38" s="1"/>
    </row>
    <row r="39" spans="1:8" ht="22" customHeight="1">
      <c r="A39" s="1"/>
      <c r="B39" s="1"/>
      <c r="C39" s="1"/>
      <c r="D39" s="1"/>
      <c r="E39" s="1"/>
      <c r="F39" s="1"/>
      <c r="G39" s="1"/>
      <c r="H39" s="1"/>
    </row>
    <row r="40" spans="1:8" ht="22" customHeight="1">
      <c r="A40" s="1"/>
      <c r="B40" s="1"/>
      <c r="C40" s="1"/>
      <c r="D40" s="1"/>
      <c r="E40" s="1"/>
      <c r="F40" s="1"/>
      <c r="G40" s="1"/>
      <c r="H40" s="1"/>
    </row>
    <row r="41" spans="1:8" ht="22" customHeight="1">
      <c r="A41" s="1"/>
      <c r="B41" s="1"/>
      <c r="C41" s="1"/>
      <c r="D41" s="1"/>
      <c r="E41" s="1"/>
      <c r="F41" s="1"/>
      <c r="G41" s="1"/>
      <c r="H41" s="1"/>
    </row>
    <row r="42" spans="1:8" ht="22" customHeight="1">
      <c r="A42" s="1"/>
      <c r="B42" s="1"/>
      <c r="C42" s="1"/>
      <c r="D42" s="1"/>
      <c r="E42" s="1"/>
      <c r="F42" s="1"/>
      <c r="G42" s="1"/>
      <c r="H42" s="1"/>
    </row>
    <row r="43" spans="1:8" ht="22" customHeight="1">
      <c r="A43" s="1"/>
      <c r="B43" s="1"/>
      <c r="C43" s="1"/>
      <c r="D43" s="1"/>
      <c r="E43" s="1"/>
      <c r="F43" s="1"/>
      <c r="G43" s="1"/>
      <c r="H43" s="1"/>
    </row>
    <row r="44" spans="1:8" ht="22" customHeight="1">
      <c r="A44" s="1"/>
      <c r="B44" s="1"/>
      <c r="C44" s="1"/>
      <c r="D44" s="1"/>
      <c r="E44" s="1"/>
      <c r="F44" s="1"/>
      <c r="G44" s="1"/>
      <c r="H44" s="1"/>
    </row>
    <row r="45" spans="1:8" ht="22" customHeight="1">
      <c r="A45" s="1"/>
      <c r="B45" s="1"/>
      <c r="C45" s="1"/>
      <c r="D45" s="1"/>
      <c r="E45" s="1"/>
      <c r="F45" s="1"/>
      <c r="G45" s="1"/>
      <c r="H45" s="1"/>
    </row>
    <row r="46" spans="1:8" ht="22" customHeight="1">
      <c r="A46" s="1"/>
      <c r="B46" s="1"/>
      <c r="C46" s="1"/>
      <c r="D46" s="1"/>
      <c r="E46" s="1"/>
      <c r="F46" s="1"/>
      <c r="G46" s="1"/>
      <c r="H46" s="1"/>
    </row>
    <row r="47" spans="1:8" ht="22" customHeight="1">
      <c r="A47" s="1"/>
      <c r="B47" s="1"/>
      <c r="C47" s="1"/>
      <c r="D47" s="1"/>
      <c r="E47" s="1"/>
      <c r="F47" s="1"/>
      <c r="G47" s="1"/>
      <c r="H47" s="1"/>
    </row>
    <row r="48" spans="1:8" ht="22" customHeight="1">
      <c r="A48" s="1"/>
      <c r="B48" s="1"/>
      <c r="C48" s="1"/>
      <c r="D48" s="1"/>
      <c r="E48" s="1"/>
      <c r="F48" s="1"/>
      <c r="G48" s="1"/>
      <c r="H48" s="1"/>
    </row>
    <row r="49" spans="1:8" ht="22" customHeight="1">
      <c r="A49" s="1"/>
      <c r="B49" s="1"/>
      <c r="C49" s="1"/>
      <c r="D49" s="1"/>
      <c r="E49" s="1"/>
      <c r="F49" s="1"/>
      <c r="G49" s="1"/>
      <c r="H49" s="1"/>
    </row>
    <row r="50" spans="1:8" ht="22" customHeight="1">
      <c r="A50" s="1"/>
      <c r="B50" s="1"/>
      <c r="C50" s="1"/>
      <c r="D50" s="1"/>
      <c r="E50" s="1"/>
      <c r="F50" s="1"/>
      <c r="G50" s="1"/>
      <c r="H50" s="1"/>
    </row>
    <row r="51" spans="1:8" ht="22" customHeight="1">
      <c r="A51" s="1"/>
      <c r="B51" s="1"/>
      <c r="C51" s="1"/>
      <c r="D51" s="1"/>
      <c r="E51" s="1"/>
      <c r="F51" s="1"/>
      <c r="G51" s="1"/>
      <c r="H51" s="1"/>
    </row>
    <row r="52" spans="1:8" ht="22" customHeight="1">
      <c r="A52" s="1"/>
      <c r="B52" s="1"/>
      <c r="C52" s="1"/>
      <c r="D52" s="1"/>
      <c r="E52" s="1"/>
      <c r="F52" s="1"/>
      <c r="G52" s="1"/>
      <c r="H52" s="1"/>
    </row>
    <row r="53" spans="1:8" ht="22" customHeight="1">
      <c r="A53" s="1"/>
      <c r="B53" s="1"/>
      <c r="C53" s="1"/>
      <c r="D53" s="1"/>
      <c r="E53" s="1"/>
      <c r="F53" s="1"/>
      <c r="G53" s="1"/>
      <c r="H53" s="1"/>
    </row>
    <row r="54" spans="1:8" ht="22" customHeight="1">
      <c r="A54" s="1"/>
      <c r="B54" s="1"/>
      <c r="C54" s="1"/>
      <c r="D54" s="1"/>
      <c r="E54" s="1"/>
      <c r="F54" s="1"/>
      <c r="G54" s="1"/>
      <c r="H54" s="1"/>
    </row>
    <row r="55" spans="1:8" ht="22" customHeight="1">
      <c r="A55" s="1"/>
      <c r="B55" s="1"/>
      <c r="C55" s="1"/>
      <c r="D55" s="1"/>
      <c r="E55" s="1"/>
      <c r="F55" s="1"/>
      <c r="G55" s="1"/>
      <c r="H55" s="1"/>
    </row>
    <row r="56" spans="1:8" ht="22" customHeight="1">
      <c r="A56" s="1"/>
      <c r="B56" s="1"/>
      <c r="C56" s="1"/>
      <c r="D56" s="1"/>
      <c r="E56" s="1"/>
      <c r="F56" s="1"/>
      <c r="G56" s="1"/>
      <c r="H56" s="1"/>
    </row>
    <row r="57" spans="1:8" ht="22" customHeight="1">
      <c r="A57" s="1"/>
      <c r="B57" s="1"/>
      <c r="C57" s="1"/>
      <c r="D57" s="1"/>
      <c r="E57" s="1"/>
      <c r="F57" s="1"/>
      <c r="G57" s="1"/>
      <c r="H57" s="1"/>
    </row>
    <row r="58" spans="1:8" ht="22" customHeight="1">
      <c r="A58" s="1"/>
      <c r="B58" s="1"/>
      <c r="C58" s="1"/>
      <c r="D58" s="1"/>
      <c r="E58" s="1"/>
      <c r="F58" s="1"/>
      <c r="G58" s="1"/>
      <c r="H58" s="1"/>
    </row>
    <row r="59" spans="1:8" ht="22" customHeight="1">
      <c r="A59" s="1"/>
      <c r="B59" s="1"/>
      <c r="C59" s="1"/>
      <c r="D59" s="1"/>
      <c r="E59" s="1"/>
      <c r="F59" s="1"/>
      <c r="G59" s="1"/>
      <c r="H59" s="1"/>
    </row>
    <row r="60" spans="1:8" ht="22" customHeight="1">
      <c r="A60" s="1"/>
      <c r="B60" s="1"/>
      <c r="C60" s="1"/>
      <c r="D60" s="1"/>
      <c r="E60" s="1"/>
      <c r="F60" s="1"/>
      <c r="G60" s="1"/>
      <c r="H60" s="1"/>
    </row>
    <row r="61" spans="1:8" ht="22" customHeight="1">
      <c r="A61" s="1"/>
      <c r="B61" s="1"/>
      <c r="C61" s="1"/>
      <c r="D61" s="1"/>
      <c r="E61" s="1"/>
      <c r="F61" s="1"/>
      <c r="G61" s="1"/>
      <c r="H61" s="1"/>
    </row>
    <row r="62" spans="1:8" ht="22" customHeight="1">
      <c r="A62" s="1"/>
      <c r="B62" s="1"/>
      <c r="C62" s="1"/>
      <c r="D62" s="1"/>
      <c r="E62" s="1"/>
      <c r="F62" s="1"/>
      <c r="G62" s="1"/>
      <c r="H62" s="1"/>
    </row>
    <row r="63" spans="1:8" ht="22" customHeight="1">
      <c r="A63" s="1"/>
      <c r="B63" s="1"/>
      <c r="C63" s="1"/>
      <c r="D63" s="1"/>
      <c r="E63" s="1"/>
      <c r="F63" s="1"/>
      <c r="G63" s="1"/>
      <c r="H63" s="1"/>
    </row>
    <row r="64" spans="1:8" ht="22" customHeight="1">
      <c r="A64" s="1"/>
      <c r="B64" s="1"/>
      <c r="C64" s="1"/>
      <c r="D64" s="1"/>
      <c r="E64" s="1"/>
      <c r="F64" s="1"/>
      <c r="G64" s="1"/>
      <c r="H64" s="1"/>
    </row>
    <row r="65" spans="1:8" ht="22" customHeight="1">
      <c r="A65" s="1"/>
      <c r="B65" s="1"/>
      <c r="C65" s="1"/>
      <c r="D65" s="1"/>
      <c r="E65" s="1"/>
      <c r="F65" s="1"/>
      <c r="G65" s="1"/>
      <c r="H65" s="1"/>
    </row>
    <row r="66" spans="1:8" ht="22" customHeight="1">
      <c r="A66" s="1"/>
      <c r="B66" s="1"/>
      <c r="C66" s="1"/>
      <c r="D66" s="1"/>
      <c r="E66" s="1"/>
      <c r="F66" s="1"/>
      <c r="G66" s="1"/>
      <c r="H66" s="1"/>
    </row>
    <row r="67" spans="1:8" ht="22" customHeight="1">
      <c r="A67" s="1"/>
      <c r="B67" s="1"/>
      <c r="C67" s="1"/>
      <c r="D67" s="1"/>
      <c r="E67" s="1"/>
      <c r="F67" s="1"/>
      <c r="G67" s="1"/>
      <c r="H67" s="1"/>
    </row>
    <row r="68" spans="1:8" ht="22" customHeight="1">
      <c r="A68" s="1"/>
      <c r="B68" s="1"/>
      <c r="C68" s="1"/>
      <c r="D68" s="1"/>
      <c r="E68" s="1"/>
      <c r="F68" s="1"/>
      <c r="G68" s="1"/>
      <c r="H68" s="1"/>
    </row>
    <row r="69" spans="1:8" ht="22" customHeight="1">
      <c r="A69" s="1"/>
      <c r="B69" s="1"/>
      <c r="C69" s="1"/>
      <c r="D69" s="1"/>
      <c r="E69" s="1"/>
      <c r="F69" s="1"/>
      <c r="G69" s="1"/>
      <c r="H69" s="1"/>
    </row>
    <row r="70" spans="1:8" ht="22" customHeight="1">
      <c r="A70" s="1"/>
      <c r="B70" s="1"/>
      <c r="C70" s="1"/>
      <c r="D70" s="1"/>
      <c r="E70" s="1"/>
      <c r="F70" s="1"/>
      <c r="G70" s="1"/>
      <c r="H70" s="1"/>
    </row>
    <row r="71" spans="1:8" ht="22" customHeight="1">
      <c r="A71" s="1"/>
      <c r="B71" s="1"/>
      <c r="C71" s="1"/>
      <c r="D71" s="1"/>
      <c r="E71" s="1"/>
      <c r="F71" s="1"/>
      <c r="G71" s="1"/>
      <c r="H71" s="1"/>
    </row>
    <row r="72" spans="1:8" ht="22" customHeight="1">
      <c r="A72" s="1"/>
      <c r="B72" s="1"/>
      <c r="C72" s="1"/>
      <c r="D72" s="1"/>
      <c r="E72" s="1"/>
      <c r="F72" s="1"/>
      <c r="G72" s="1"/>
      <c r="H72" s="1"/>
    </row>
    <row r="73" spans="1:8" ht="22" customHeight="1">
      <c r="A73" s="1"/>
      <c r="B73" s="1"/>
      <c r="C73" s="1"/>
      <c r="D73" s="1"/>
      <c r="E73" s="1"/>
      <c r="F73" s="1"/>
      <c r="G73" s="1"/>
      <c r="H73" s="1"/>
    </row>
    <row r="74" spans="1:8" ht="22" customHeight="1">
      <c r="A74" s="1"/>
      <c r="B74" s="1"/>
      <c r="C74" s="1"/>
      <c r="D74" s="1"/>
      <c r="E74" s="1"/>
      <c r="F74" s="1"/>
      <c r="G74" s="1"/>
      <c r="H74" s="1"/>
    </row>
    <row r="75" spans="1:8" ht="22" customHeight="1">
      <c r="A75" s="1"/>
      <c r="B75" s="1"/>
      <c r="C75" s="1"/>
      <c r="D75" s="1"/>
      <c r="E75" s="1"/>
      <c r="F75" s="1"/>
      <c r="G75" s="1"/>
      <c r="H75" s="1"/>
    </row>
    <row r="76" spans="1:8" ht="22" customHeight="1">
      <c r="A76" s="1"/>
      <c r="B76" s="1"/>
      <c r="C76" s="1"/>
      <c r="D76" s="1"/>
      <c r="E76" s="1"/>
      <c r="F76" s="1"/>
      <c r="G76" s="1"/>
      <c r="H76" s="1"/>
    </row>
    <row r="77" spans="1:8" ht="22" customHeight="1">
      <c r="A77" s="1"/>
      <c r="B77" s="1"/>
      <c r="C77" s="1"/>
      <c r="D77" s="1"/>
      <c r="E77" s="1"/>
      <c r="F77" s="1"/>
      <c r="G77" s="1"/>
      <c r="H77" s="1"/>
    </row>
    <row r="78" spans="1:8" ht="22" customHeight="1">
      <c r="A78" s="1"/>
      <c r="B78" s="1"/>
      <c r="C78" s="1"/>
      <c r="D78" s="1"/>
      <c r="E78" s="1"/>
      <c r="F78" s="1"/>
      <c r="G78" s="1"/>
      <c r="H78" s="1"/>
    </row>
    <row r="79" spans="1:8" ht="22" customHeight="1">
      <c r="A79" s="1"/>
      <c r="B79" s="1"/>
      <c r="C79" s="1"/>
      <c r="D79" s="1"/>
      <c r="E79" s="1"/>
      <c r="F79" s="1"/>
      <c r="G79" s="1"/>
      <c r="H79" s="1"/>
    </row>
    <row r="80" spans="1:8" ht="22" customHeight="1">
      <c r="A80" s="1"/>
      <c r="B80" s="1"/>
      <c r="C80" s="1"/>
      <c r="D80" s="1"/>
      <c r="E80" s="1"/>
      <c r="F80" s="1"/>
      <c r="G80" s="1"/>
      <c r="H80" s="1"/>
    </row>
    <row r="81" spans="1:8" ht="22" customHeight="1">
      <c r="A81" s="1"/>
      <c r="B81" s="1"/>
      <c r="C81" s="1"/>
      <c r="D81" s="1"/>
      <c r="E81" s="1"/>
      <c r="F81" s="1"/>
      <c r="G81" s="1"/>
      <c r="H81" s="1"/>
    </row>
    <row r="82" spans="1:8" ht="22" customHeight="1">
      <c r="A82" s="1"/>
      <c r="B82" s="1"/>
      <c r="C82" s="1"/>
      <c r="D82" s="1"/>
      <c r="E82" s="1"/>
      <c r="F82" s="1"/>
      <c r="G82" s="1"/>
      <c r="H82" s="1"/>
    </row>
    <row r="83" spans="1:8" ht="22" customHeight="1">
      <c r="A83" s="1"/>
      <c r="B83" s="1"/>
      <c r="C83" s="1"/>
      <c r="D83" s="1"/>
      <c r="E83" s="1"/>
      <c r="F83" s="1"/>
      <c r="G83" s="1"/>
      <c r="H83" s="1"/>
    </row>
    <row r="84" spans="1:8" ht="22" customHeight="1">
      <c r="A84" s="1"/>
      <c r="B84" s="1"/>
      <c r="C84" s="1"/>
      <c r="D84" s="1"/>
      <c r="E84" s="1"/>
      <c r="F84" s="1"/>
      <c r="G84" s="1"/>
      <c r="H84" s="1"/>
    </row>
    <row r="85" spans="1:8" ht="22" customHeight="1">
      <c r="A85" s="1"/>
      <c r="B85" s="1"/>
      <c r="C85" s="1"/>
      <c r="D85" s="1"/>
      <c r="E85" s="1"/>
      <c r="F85" s="1"/>
      <c r="G85" s="1"/>
      <c r="H85" s="1"/>
    </row>
    <row r="86" spans="1:8" ht="22" customHeight="1">
      <c r="A86" s="1"/>
      <c r="B86" s="1"/>
      <c r="C86" s="1"/>
      <c r="D86" s="1"/>
      <c r="E86" s="1"/>
      <c r="F86" s="1"/>
      <c r="G86" s="1"/>
      <c r="H86" s="1"/>
    </row>
    <row r="87" spans="1:8" ht="22" customHeight="1">
      <c r="A87" s="1"/>
      <c r="B87" s="1"/>
      <c r="C87" s="1"/>
      <c r="D87" s="1"/>
      <c r="E87" s="1"/>
      <c r="F87" s="1"/>
      <c r="G87" s="1"/>
      <c r="H87" s="1"/>
    </row>
    <row r="88" spans="1:8" ht="22" customHeight="1">
      <c r="A88" s="1"/>
      <c r="B88" s="1"/>
      <c r="C88" s="1"/>
      <c r="D88" s="1"/>
      <c r="E88" s="1"/>
      <c r="F88" s="1"/>
      <c r="G88" s="1"/>
      <c r="H88" s="1"/>
    </row>
    <row r="89" spans="1:8" ht="22" customHeight="1">
      <c r="A89" s="1"/>
      <c r="B89" s="1"/>
      <c r="C89" s="1"/>
      <c r="D89" s="1"/>
      <c r="E89" s="1"/>
      <c r="F89" s="1"/>
      <c r="G89" s="1"/>
      <c r="H89" s="1"/>
    </row>
    <row r="90" spans="1:8" ht="22" customHeight="1">
      <c r="A90" s="1"/>
      <c r="B90" s="1"/>
      <c r="C90" s="1"/>
      <c r="D90" s="1"/>
      <c r="E90" s="1"/>
      <c r="F90" s="1"/>
      <c r="G90" s="1"/>
      <c r="H90" s="1"/>
    </row>
  </sheetData>
  <sheetProtection sheet="1" objects="1" scenarios="1"/>
  <mergeCells count="4">
    <mergeCell ref="A1:H2"/>
    <mergeCell ref="A4:H5"/>
    <mergeCell ref="A21:H22"/>
    <mergeCell ref="A25:H26"/>
  </mergeCells>
  <pageMargins left="0.39370078740157477" right="0.39370078740157477" top="0.39370078740157477" bottom="0.39370078740157477" header="0.3" footer="0.3"/>
  <pageSetup paperSize="9" scale="80" orientation="landscape" r:id="rId1"/>
  <headerFooter>
    <oddFooter>&amp;CCalcy | Page &amp;P&amp;Rcalcy.com.au</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AF4EE"/>
    <pageSetUpPr fitToPage="1"/>
  </sheetPr>
  <dimension ref="A1:H90"/>
  <sheetViews>
    <sheetView showGridLines="0" zoomScaleNormal="100" workbookViewId="0">
      <selection sqref="A1:H2"/>
    </sheetView>
  </sheetViews>
  <sheetFormatPr defaultRowHeight="14.15"/>
  <cols>
    <col min="1" max="1" width="28" customWidth="1"/>
    <col min="2" max="8" width="16" customWidth="1"/>
  </cols>
  <sheetData>
    <row r="1" spans="1:8" ht="22" customHeight="1">
      <c r="A1" s="12" t="s">
        <v>14</v>
      </c>
      <c r="B1" s="12" t="s">
        <v>14</v>
      </c>
      <c r="C1" s="12" t="s">
        <v>14</v>
      </c>
      <c r="D1" s="12" t="s">
        <v>14</v>
      </c>
      <c r="E1" s="12" t="s">
        <v>14</v>
      </c>
      <c r="F1" s="12" t="s">
        <v>14</v>
      </c>
      <c r="G1" s="12" t="s">
        <v>14</v>
      </c>
      <c r="H1" s="12" t="s">
        <v>14</v>
      </c>
    </row>
    <row r="2" spans="1:8" ht="22" customHeight="1">
      <c r="A2" s="12" t="s">
        <v>14</v>
      </c>
      <c r="B2" s="12" t="s">
        <v>14</v>
      </c>
      <c r="C2" s="12" t="s">
        <v>14</v>
      </c>
      <c r="D2" s="12" t="s">
        <v>14</v>
      </c>
      <c r="E2" s="12" t="s">
        <v>14</v>
      </c>
      <c r="F2" s="12" t="s">
        <v>14</v>
      </c>
      <c r="G2" s="12" t="s">
        <v>14</v>
      </c>
      <c r="H2" s="12" t="s">
        <v>14</v>
      </c>
    </row>
    <row r="3" spans="1:8" ht="22" customHeight="1">
      <c r="A3" s="1"/>
      <c r="B3" s="1"/>
      <c r="C3" s="1"/>
      <c r="D3" s="1"/>
      <c r="E3" s="1"/>
      <c r="F3" s="1"/>
      <c r="G3" s="1"/>
      <c r="H3" s="1"/>
    </row>
    <row r="4" spans="1:8" ht="22" customHeight="1">
      <c r="A4" s="1"/>
      <c r="B4" s="1"/>
      <c r="C4" s="1"/>
      <c r="D4" s="1"/>
      <c r="E4" s="1"/>
      <c r="F4" s="1"/>
      <c r="G4" s="1"/>
      <c r="H4" s="1"/>
    </row>
    <row r="5" spans="1:8" ht="34" customHeight="1">
      <c r="A5" s="1" t="s">
        <v>15</v>
      </c>
      <c r="B5" s="8">
        <v>650000</v>
      </c>
      <c r="C5" s="14" t="s">
        <v>16</v>
      </c>
      <c r="D5" s="14"/>
      <c r="E5" s="14"/>
      <c r="F5" s="14"/>
      <c r="G5" s="14"/>
      <c r="H5" s="14"/>
    </row>
    <row r="6" spans="1:8" ht="34" customHeight="1">
      <c r="A6" s="1" t="s">
        <v>17</v>
      </c>
      <c r="B6" s="9">
        <v>6.3899999999999998E-2</v>
      </c>
      <c r="C6" s="14" t="s">
        <v>18</v>
      </c>
      <c r="D6" s="14"/>
      <c r="E6" s="14"/>
      <c r="F6" s="14"/>
      <c r="G6" s="14"/>
      <c r="H6" s="14"/>
    </row>
    <row r="7" spans="1:8" ht="34" customHeight="1">
      <c r="A7" s="1" t="s">
        <v>19</v>
      </c>
      <c r="B7" s="10">
        <v>30</v>
      </c>
      <c r="C7" s="14" t="s">
        <v>20</v>
      </c>
      <c r="D7" s="14"/>
      <c r="E7" s="14"/>
      <c r="F7" s="14"/>
      <c r="G7" s="14"/>
      <c r="H7" s="14"/>
    </row>
    <row r="8" spans="1:8" ht="34" customHeight="1">
      <c r="A8" s="1" t="s">
        <v>21</v>
      </c>
      <c r="B8" s="11">
        <v>46327</v>
      </c>
      <c r="C8" s="14" t="s">
        <v>22</v>
      </c>
      <c r="D8" s="14"/>
      <c r="E8" s="14"/>
      <c r="F8" s="14"/>
      <c r="G8" s="14"/>
      <c r="H8" s="14"/>
    </row>
    <row r="9" spans="1:8" ht="34" customHeight="1">
      <c r="A9" s="1" t="s">
        <v>23</v>
      </c>
      <c r="B9" s="10" t="s">
        <v>24</v>
      </c>
      <c r="C9" s="14" t="s">
        <v>25</v>
      </c>
      <c r="D9" s="14"/>
      <c r="E9" s="14"/>
      <c r="F9" s="14"/>
      <c r="G9" s="14"/>
      <c r="H9" s="14"/>
    </row>
    <row r="10" spans="1:8" ht="34" customHeight="1">
      <c r="A10" s="1" t="s">
        <v>26</v>
      </c>
      <c r="B10" s="10">
        <v>250</v>
      </c>
      <c r="C10" s="14" t="s">
        <v>27</v>
      </c>
      <c r="D10" s="14"/>
      <c r="E10" s="14"/>
      <c r="F10" s="14"/>
      <c r="G10" s="14"/>
      <c r="H10" s="14"/>
    </row>
    <row r="11" spans="1:8" ht="34" customHeight="1">
      <c r="A11" s="1" t="s">
        <v>28</v>
      </c>
      <c r="B11" s="10" t="s">
        <v>24</v>
      </c>
      <c r="C11" s="14" t="s">
        <v>29</v>
      </c>
      <c r="D11" s="14"/>
      <c r="E11" s="14"/>
      <c r="F11" s="14"/>
      <c r="G11" s="14"/>
      <c r="H11" s="14"/>
    </row>
    <row r="12" spans="1:8" ht="32.049999999999997" customHeight="1">
      <c r="A12" s="1" t="s">
        <v>30</v>
      </c>
      <c r="B12" s="1" t="b">
        <f>AND(ISNUMBER(B5),ISNUMBER(B6),ISNUMBER(B7),ISNUMBER(B8),B5&gt;=0,B5&lt;=100000000,B6&gt;=0,B6&lt;=0.3,B7&gt;=1,B7&lt;=40,IF(ISNUMBER(B7),B7=INT(B7),FALSE),B8&gt;=DATE(2000,1,1),B8&lt;=DATE(2100,12,31),OR(B9="monthly",B9="fortnightly",B9="weekly"),ISNUMBER(B10),B10&gt;=0,B10&lt;=100000000,OR(B11="monthly",B11="fortnightly",B11="weekly"))</f>
        <v>1</v>
      </c>
      <c r="C12" s="13" t="str">
        <f>IF(B12,"Inputs ready","Enter valid inputs. Results are unavailable.")</f>
        <v>Inputs ready</v>
      </c>
      <c r="D12" s="13"/>
      <c r="E12" s="13"/>
      <c r="F12" s="13"/>
      <c r="G12" s="13"/>
      <c r="H12" s="13"/>
    </row>
    <row r="13" spans="1:8" ht="22" customHeight="1">
      <c r="A13" s="1"/>
      <c r="B13" s="1"/>
      <c r="C13" s="1"/>
      <c r="D13" s="1"/>
      <c r="E13" s="1"/>
      <c r="F13" s="1"/>
      <c r="G13" s="1"/>
      <c r="H13" s="1"/>
    </row>
    <row r="14" spans="1:8" ht="22" customHeight="1">
      <c r="A14" s="1" t="s">
        <v>31</v>
      </c>
      <c r="B14" s="1">
        <f>IF(B9="monthly",12,IF(B9="fortnightly",26,52))</f>
        <v>12</v>
      </c>
      <c r="C14" s="1"/>
      <c r="D14" s="1"/>
      <c r="E14" s="1"/>
      <c r="F14" s="1"/>
      <c r="G14" s="1"/>
      <c r="H14" s="1"/>
    </row>
    <row r="15" spans="1:8" ht="22" customHeight="1">
      <c r="A15" s="1" t="s">
        <v>32</v>
      </c>
      <c r="B15" s="1">
        <f>IF(B12,B6/B14,0)</f>
        <v>5.3249999999999999E-3</v>
      </c>
      <c r="C15" s="1"/>
      <c r="D15" s="1"/>
      <c r="E15" s="1"/>
      <c r="F15" s="1"/>
      <c r="G15" s="1"/>
      <c r="H15" s="1"/>
    </row>
    <row r="16" spans="1:8" ht="22" customHeight="1">
      <c r="A16" s="1" t="s">
        <v>33</v>
      </c>
      <c r="B16" s="1">
        <f>IF(B12,B7*B14,0)</f>
        <v>360</v>
      </c>
      <c r="C16" s="1"/>
      <c r="D16" s="1"/>
      <c r="E16" s="1"/>
      <c r="F16" s="1"/>
      <c r="G16" s="1"/>
      <c r="H16" s="1"/>
    </row>
    <row r="17" spans="1:8" ht="22" customHeight="1">
      <c r="A17" s="1" t="s">
        <v>34</v>
      </c>
      <c r="B17" s="2">
        <f>IF(B12,IF(B15=0,B5/B16,B5*B15*(1+B15)^B16/((1+B15)^B16-1)),0)</f>
        <v>4061.5333678073534</v>
      </c>
      <c r="C17" s="1"/>
      <c r="D17" s="1"/>
      <c r="E17" s="1"/>
      <c r="F17" s="1"/>
      <c r="G17" s="1"/>
      <c r="H17" s="1"/>
    </row>
    <row r="18" spans="1:8" ht="22" customHeight="1">
      <c r="A18" s="1" t="s">
        <v>35</v>
      </c>
      <c r="B18" s="2">
        <f>IF(B12, B10*IF(B11="monthly",12,IF(B11="fortnightly",26,52))/B14,0)</f>
        <v>250</v>
      </c>
      <c r="C18" s="1"/>
      <c r="D18" s="1"/>
      <c r="E18" s="1"/>
      <c r="F18" s="1"/>
      <c r="G18" s="1"/>
      <c r="H18" s="1"/>
    </row>
    <row r="19" spans="1:8" ht="22" customHeight="1">
      <c r="A19" s="1"/>
      <c r="B19" s="1"/>
      <c r="C19" s="1"/>
      <c r="D19" s="1"/>
      <c r="E19" s="1"/>
      <c r="F19" s="1"/>
      <c r="G19" s="1"/>
      <c r="H19" s="1"/>
    </row>
    <row r="20" spans="1:8" ht="22" customHeight="1">
      <c r="A20" s="1"/>
      <c r="B20" s="1"/>
      <c r="C20" s="1"/>
      <c r="D20" s="1"/>
      <c r="E20" s="1"/>
      <c r="F20" s="1"/>
      <c r="G20" s="1"/>
      <c r="H20" s="1"/>
    </row>
    <row r="21" spans="1:8" ht="24" customHeight="1">
      <c r="A21" s="14" t="s">
        <v>36</v>
      </c>
      <c r="B21" s="14" t="s">
        <v>36</v>
      </c>
      <c r="C21" s="14" t="s">
        <v>36</v>
      </c>
      <c r="D21" s="14" t="s">
        <v>36</v>
      </c>
      <c r="E21" s="14" t="s">
        <v>36</v>
      </c>
      <c r="F21" s="14" t="s">
        <v>36</v>
      </c>
      <c r="G21" s="14" t="s">
        <v>36</v>
      </c>
      <c r="H21" s="14" t="s">
        <v>36</v>
      </c>
    </row>
    <row r="22" spans="1:8" ht="24" customHeight="1">
      <c r="A22" s="14" t="s">
        <v>36</v>
      </c>
      <c r="B22" s="14" t="s">
        <v>36</v>
      </c>
      <c r="C22" s="14" t="s">
        <v>36</v>
      </c>
      <c r="D22" s="14" t="s">
        <v>36</v>
      </c>
      <c r="E22" s="14" t="s">
        <v>36</v>
      </c>
      <c r="F22" s="14" t="s">
        <v>36</v>
      </c>
      <c r="G22" s="14" t="s">
        <v>36</v>
      </c>
      <c r="H22" s="14" t="s">
        <v>36</v>
      </c>
    </row>
    <row r="23" spans="1:8" ht="22" customHeight="1">
      <c r="A23" s="1"/>
      <c r="B23" s="1"/>
      <c r="C23" s="1"/>
      <c r="D23" s="1"/>
      <c r="E23" s="1"/>
      <c r="F23" s="1"/>
      <c r="G23" s="1"/>
      <c r="H23" s="1"/>
    </row>
    <row r="24" spans="1:8" ht="22" customHeight="1">
      <c r="A24" s="1"/>
      <c r="B24" s="1"/>
      <c r="C24" s="1"/>
      <c r="D24" s="1"/>
      <c r="E24" s="1"/>
      <c r="F24" s="1"/>
      <c r="G24" s="1"/>
      <c r="H24" s="1"/>
    </row>
    <row r="25" spans="1:8" ht="24" customHeight="1">
      <c r="A25" s="14" t="s">
        <v>37</v>
      </c>
      <c r="B25" s="14" t="s">
        <v>37</v>
      </c>
      <c r="C25" s="14" t="s">
        <v>37</v>
      </c>
      <c r="D25" s="14" t="s">
        <v>37</v>
      </c>
      <c r="E25" s="14" t="s">
        <v>37</v>
      </c>
      <c r="F25" s="14" t="s">
        <v>37</v>
      </c>
      <c r="G25" s="14" t="s">
        <v>37</v>
      </c>
      <c r="H25" s="14" t="s">
        <v>37</v>
      </c>
    </row>
    <row r="26" spans="1:8" ht="24" customHeight="1">
      <c r="A26" s="14" t="s">
        <v>37</v>
      </c>
      <c r="B26" s="14" t="s">
        <v>37</v>
      </c>
      <c r="C26" s="14" t="s">
        <v>37</v>
      </c>
      <c r="D26" s="14" t="s">
        <v>37</v>
      </c>
      <c r="E26" s="14" t="s">
        <v>37</v>
      </c>
      <c r="F26" s="14" t="s">
        <v>37</v>
      </c>
      <c r="G26" s="14" t="s">
        <v>37</v>
      </c>
      <c r="H26" s="14" t="s">
        <v>37</v>
      </c>
    </row>
    <row r="27" spans="1:8" ht="22" customHeight="1">
      <c r="A27" s="1"/>
      <c r="B27" s="1"/>
      <c r="C27" s="1"/>
      <c r="D27" s="1"/>
      <c r="E27" s="1"/>
      <c r="F27" s="1"/>
      <c r="G27" s="1"/>
      <c r="H27" s="1"/>
    </row>
    <row r="28" spans="1:8" ht="22" customHeight="1">
      <c r="A28" s="1"/>
      <c r="B28" s="1"/>
      <c r="C28" s="1"/>
      <c r="D28" s="1"/>
      <c r="E28" s="1"/>
      <c r="F28" s="1"/>
      <c r="G28" s="1"/>
      <c r="H28" s="1"/>
    </row>
    <row r="29" spans="1:8" ht="22" customHeight="1">
      <c r="A29" s="1"/>
      <c r="B29" s="1"/>
      <c r="C29" s="1"/>
      <c r="D29" s="1"/>
      <c r="E29" s="1"/>
      <c r="F29" s="1"/>
      <c r="G29" s="1"/>
      <c r="H29" s="1"/>
    </row>
    <row r="30" spans="1:8" ht="22" customHeight="1">
      <c r="A30" s="1"/>
      <c r="B30" s="1"/>
      <c r="C30" s="1"/>
      <c r="D30" s="1"/>
      <c r="E30" s="1"/>
      <c r="F30" s="1"/>
      <c r="G30" s="1"/>
      <c r="H30" s="1"/>
    </row>
    <row r="31" spans="1:8" ht="22" customHeight="1">
      <c r="A31" s="1"/>
      <c r="B31" s="1"/>
      <c r="C31" s="1"/>
      <c r="D31" s="1"/>
      <c r="E31" s="1"/>
      <c r="F31" s="1"/>
      <c r="G31" s="1"/>
      <c r="H31" s="1"/>
    </row>
    <row r="32" spans="1:8" ht="22" customHeight="1">
      <c r="A32" s="1"/>
      <c r="B32" s="1"/>
      <c r="C32" s="1"/>
      <c r="D32" s="1"/>
      <c r="E32" s="1"/>
      <c r="F32" s="1"/>
      <c r="G32" s="1"/>
      <c r="H32" s="1"/>
    </row>
    <row r="33" spans="1:8" ht="22" customHeight="1">
      <c r="A33" s="1"/>
      <c r="B33" s="1"/>
      <c r="C33" s="1"/>
      <c r="D33" s="1"/>
      <c r="E33" s="1"/>
      <c r="F33" s="1"/>
      <c r="G33" s="1"/>
      <c r="H33" s="1"/>
    </row>
    <row r="34" spans="1:8" ht="22" customHeight="1">
      <c r="A34" s="1"/>
      <c r="B34" s="1"/>
      <c r="C34" s="1"/>
      <c r="D34" s="1"/>
      <c r="E34" s="1"/>
      <c r="F34" s="1"/>
      <c r="G34" s="1"/>
      <c r="H34" s="1"/>
    </row>
    <row r="35" spans="1:8" ht="22" customHeight="1">
      <c r="A35" s="1"/>
      <c r="B35" s="1"/>
      <c r="C35" s="1"/>
      <c r="D35" s="1"/>
      <c r="E35" s="1"/>
      <c r="F35" s="1"/>
      <c r="G35" s="1"/>
      <c r="H35" s="1"/>
    </row>
    <row r="36" spans="1:8" ht="22" customHeight="1">
      <c r="A36" s="1"/>
      <c r="B36" s="1"/>
      <c r="C36" s="1"/>
      <c r="D36" s="1"/>
      <c r="E36" s="1"/>
      <c r="F36" s="1"/>
      <c r="G36" s="1"/>
      <c r="H36" s="1"/>
    </row>
    <row r="37" spans="1:8" ht="22" customHeight="1">
      <c r="A37" s="1"/>
      <c r="B37" s="1"/>
      <c r="C37" s="1"/>
      <c r="D37" s="1"/>
      <c r="E37" s="1"/>
      <c r="F37" s="1"/>
      <c r="G37" s="1"/>
      <c r="H37" s="1"/>
    </row>
    <row r="38" spans="1:8" ht="22" customHeight="1">
      <c r="A38" s="1"/>
      <c r="B38" s="1"/>
      <c r="C38" s="1"/>
      <c r="D38" s="1"/>
      <c r="E38" s="1"/>
      <c r="F38" s="1"/>
      <c r="G38" s="1"/>
      <c r="H38" s="1"/>
    </row>
    <row r="39" spans="1:8" ht="22" customHeight="1">
      <c r="A39" s="1"/>
      <c r="B39" s="1"/>
      <c r="C39" s="1"/>
      <c r="D39" s="1"/>
      <c r="E39" s="1"/>
      <c r="F39" s="1"/>
      <c r="G39" s="1"/>
      <c r="H39" s="1"/>
    </row>
    <row r="40" spans="1:8" ht="22" customHeight="1">
      <c r="A40" s="1"/>
      <c r="B40" s="1"/>
      <c r="C40" s="1"/>
      <c r="D40" s="1"/>
      <c r="E40" s="1"/>
      <c r="F40" s="1"/>
      <c r="G40" s="1"/>
      <c r="H40" s="1"/>
    </row>
    <row r="41" spans="1:8" ht="22" customHeight="1">
      <c r="A41" s="1"/>
      <c r="B41" s="1"/>
      <c r="C41" s="1"/>
      <c r="D41" s="1"/>
      <c r="E41" s="1"/>
      <c r="F41" s="1"/>
      <c r="G41" s="1"/>
      <c r="H41" s="1"/>
    </row>
    <row r="42" spans="1:8" ht="22" customHeight="1">
      <c r="A42" s="1"/>
      <c r="B42" s="1"/>
      <c r="C42" s="1"/>
      <c r="D42" s="1"/>
      <c r="E42" s="1"/>
      <c r="F42" s="1"/>
      <c r="G42" s="1"/>
      <c r="H42" s="1"/>
    </row>
    <row r="43" spans="1:8" ht="22" customHeight="1">
      <c r="A43" s="1"/>
      <c r="B43" s="1"/>
      <c r="C43" s="1"/>
      <c r="D43" s="1"/>
      <c r="E43" s="1"/>
      <c r="F43" s="1"/>
      <c r="G43" s="1"/>
      <c r="H43" s="1"/>
    </row>
    <row r="44" spans="1:8" ht="22" customHeight="1">
      <c r="A44" s="1"/>
      <c r="B44" s="1"/>
      <c r="C44" s="1"/>
      <c r="D44" s="1"/>
      <c r="E44" s="1"/>
      <c r="F44" s="1"/>
      <c r="G44" s="1"/>
      <c r="H44" s="1"/>
    </row>
    <row r="45" spans="1:8" ht="22" customHeight="1">
      <c r="A45" s="1"/>
      <c r="B45" s="1"/>
      <c r="C45" s="1"/>
      <c r="D45" s="1"/>
      <c r="E45" s="1"/>
      <c r="F45" s="1"/>
      <c r="G45" s="1"/>
      <c r="H45" s="1"/>
    </row>
    <row r="46" spans="1:8" ht="22" customHeight="1">
      <c r="A46" s="1"/>
      <c r="B46" s="1"/>
      <c r="C46" s="1"/>
      <c r="D46" s="1"/>
      <c r="E46" s="1"/>
      <c r="F46" s="1"/>
      <c r="G46" s="1"/>
      <c r="H46" s="1"/>
    </row>
    <row r="47" spans="1:8" ht="22" customHeight="1">
      <c r="A47" s="1"/>
      <c r="B47" s="1"/>
      <c r="C47" s="1"/>
      <c r="D47" s="1"/>
      <c r="E47" s="1"/>
      <c r="F47" s="1"/>
      <c r="G47" s="1"/>
      <c r="H47" s="1"/>
    </row>
    <row r="48" spans="1:8" ht="22" customHeight="1">
      <c r="A48" s="1"/>
      <c r="B48" s="1"/>
      <c r="C48" s="1"/>
      <c r="D48" s="1"/>
      <c r="E48" s="1"/>
      <c r="F48" s="1"/>
      <c r="G48" s="1"/>
      <c r="H48" s="1"/>
    </row>
    <row r="49" spans="1:8" ht="22" customHeight="1">
      <c r="A49" s="1"/>
      <c r="B49" s="1"/>
      <c r="C49" s="1"/>
      <c r="D49" s="1"/>
      <c r="E49" s="1"/>
      <c r="F49" s="1"/>
      <c r="G49" s="1"/>
      <c r="H49" s="1"/>
    </row>
    <row r="50" spans="1:8" ht="22" customHeight="1">
      <c r="A50" s="1"/>
      <c r="B50" s="1"/>
      <c r="C50" s="1"/>
      <c r="D50" s="1"/>
      <c r="E50" s="1"/>
      <c r="F50" s="1"/>
      <c r="G50" s="1"/>
      <c r="H50" s="1"/>
    </row>
    <row r="51" spans="1:8" ht="22" customHeight="1">
      <c r="A51" s="1"/>
      <c r="B51" s="1"/>
      <c r="C51" s="1"/>
      <c r="D51" s="1"/>
      <c r="E51" s="1"/>
      <c r="F51" s="1"/>
      <c r="G51" s="1"/>
      <c r="H51" s="1"/>
    </row>
    <row r="52" spans="1:8" ht="22" customHeight="1">
      <c r="A52" s="1"/>
      <c r="B52" s="1"/>
      <c r="C52" s="1"/>
      <c r="D52" s="1"/>
      <c r="E52" s="1"/>
      <c r="F52" s="1"/>
      <c r="G52" s="1"/>
      <c r="H52" s="1"/>
    </row>
    <row r="53" spans="1:8" ht="22" customHeight="1">
      <c r="A53" s="1"/>
      <c r="B53" s="1"/>
      <c r="C53" s="1"/>
      <c r="D53" s="1"/>
      <c r="E53" s="1"/>
      <c r="F53" s="1"/>
      <c r="G53" s="1"/>
      <c r="H53" s="1"/>
    </row>
    <row r="54" spans="1:8" ht="22" customHeight="1">
      <c r="A54" s="1"/>
      <c r="B54" s="1"/>
      <c r="C54" s="1"/>
      <c r="D54" s="1"/>
      <c r="E54" s="1"/>
      <c r="F54" s="1"/>
      <c r="G54" s="1"/>
      <c r="H54" s="1"/>
    </row>
    <row r="55" spans="1:8" ht="22" customHeight="1">
      <c r="A55" s="1"/>
      <c r="B55" s="1"/>
      <c r="C55" s="1"/>
      <c r="D55" s="1"/>
      <c r="E55" s="1"/>
      <c r="F55" s="1"/>
      <c r="G55" s="1"/>
      <c r="H55" s="1"/>
    </row>
    <row r="56" spans="1:8" ht="22" customHeight="1">
      <c r="A56" s="1"/>
      <c r="B56" s="1"/>
      <c r="C56" s="1"/>
      <c r="D56" s="1"/>
      <c r="E56" s="1"/>
      <c r="F56" s="1"/>
      <c r="G56" s="1"/>
      <c r="H56" s="1"/>
    </row>
    <row r="57" spans="1:8" ht="22" customHeight="1">
      <c r="A57" s="1"/>
      <c r="B57" s="1"/>
      <c r="C57" s="1"/>
      <c r="D57" s="1"/>
      <c r="E57" s="1"/>
      <c r="F57" s="1"/>
      <c r="G57" s="1"/>
      <c r="H57" s="1"/>
    </row>
    <row r="58" spans="1:8" ht="22" customHeight="1">
      <c r="A58" s="1"/>
      <c r="B58" s="1"/>
      <c r="C58" s="1"/>
      <c r="D58" s="1"/>
      <c r="E58" s="1"/>
      <c r="F58" s="1"/>
      <c r="G58" s="1"/>
      <c r="H58" s="1"/>
    </row>
    <row r="59" spans="1:8" ht="22" customHeight="1">
      <c r="A59" s="1"/>
      <c r="B59" s="1"/>
      <c r="C59" s="1"/>
      <c r="D59" s="1"/>
      <c r="E59" s="1"/>
      <c r="F59" s="1"/>
      <c r="G59" s="1"/>
      <c r="H59" s="1"/>
    </row>
    <row r="60" spans="1:8" ht="22" customHeight="1">
      <c r="A60" s="1"/>
      <c r="B60" s="1"/>
      <c r="C60" s="1"/>
      <c r="D60" s="1"/>
      <c r="E60" s="1"/>
      <c r="F60" s="1"/>
      <c r="G60" s="1"/>
      <c r="H60" s="1"/>
    </row>
    <row r="61" spans="1:8" ht="22" customHeight="1">
      <c r="A61" s="1"/>
      <c r="B61" s="1"/>
      <c r="C61" s="1"/>
      <c r="D61" s="1"/>
      <c r="E61" s="1"/>
      <c r="F61" s="1"/>
      <c r="G61" s="1"/>
      <c r="H61" s="1"/>
    </row>
    <row r="62" spans="1:8" ht="22" customHeight="1">
      <c r="A62" s="1"/>
      <c r="B62" s="1"/>
      <c r="C62" s="1"/>
      <c r="D62" s="1"/>
      <c r="E62" s="1"/>
      <c r="F62" s="1"/>
      <c r="G62" s="1"/>
      <c r="H62" s="1"/>
    </row>
    <row r="63" spans="1:8" ht="22" customHeight="1">
      <c r="A63" s="1"/>
      <c r="B63" s="1"/>
      <c r="C63" s="1"/>
      <c r="D63" s="1"/>
      <c r="E63" s="1"/>
      <c r="F63" s="1"/>
      <c r="G63" s="1"/>
      <c r="H63" s="1"/>
    </row>
    <row r="64" spans="1:8" ht="22" customHeight="1">
      <c r="A64" s="1"/>
      <c r="B64" s="1"/>
      <c r="C64" s="1"/>
      <c r="D64" s="1"/>
      <c r="E64" s="1"/>
      <c r="F64" s="1"/>
      <c r="G64" s="1"/>
      <c r="H64" s="1"/>
    </row>
    <row r="65" spans="1:8" ht="22" customHeight="1">
      <c r="A65" s="1"/>
      <c r="B65" s="1"/>
      <c r="C65" s="1"/>
      <c r="D65" s="1"/>
      <c r="E65" s="1"/>
      <c r="F65" s="1"/>
      <c r="G65" s="1"/>
      <c r="H65" s="1"/>
    </row>
    <row r="66" spans="1:8" ht="22" customHeight="1">
      <c r="A66" s="1"/>
      <c r="B66" s="1"/>
      <c r="C66" s="1"/>
      <c r="D66" s="1"/>
      <c r="E66" s="1"/>
      <c r="F66" s="1"/>
      <c r="G66" s="1"/>
      <c r="H66" s="1"/>
    </row>
    <row r="67" spans="1:8" ht="22" customHeight="1">
      <c r="A67" s="1"/>
      <c r="B67" s="1"/>
      <c r="C67" s="1"/>
      <c r="D67" s="1"/>
      <c r="E67" s="1"/>
      <c r="F67" s="1"/>
      <c r="G67" s="1"/>
      <c r="H67" s="1"/>
    </row>
    <row r="68" spans="1:8" ht="22" customHeight="1">
      <c r="A68" s="1"/>
      <c r="B68" s="1"/>
      <c r="C68" s="1"/>
      <c r="D68" s="1"/>
      <c r="E68" s="1"/>
      <c r="F68" s="1"/>
      <c r="G68" s="1"/>
      <c r="H68" s="1"/>
    </row>
    <row r="69" spans="1:8" ht="22" customHeight="1">
      <c r="A69" s="1"/>
      <c r="B69" s="1"/>
      <c r="C69" s="1"/>
      <c r="D69" s="1"/>
      <c r="E69" s="1"/>
      <c r="F69" s="1"/>
      <c r="G69" s="1"/>
      <c r="H69" s="1"/>
    </row>
    <row r="70" spans="1:8" ht="22" customHeight="1">
      <c r="A70" s="1"/>
      <c r="B70" s="1"/>
      <c r="C70" s="1"/>
      <c r="D70" s="1"/>
      <c r="E70" s="1"/>
      <c r="F70" s="1"/>
      <c r="G70" s="1"/>
      <c r="H70" s="1"/>
    </row>
    <row r="71" spans="1:8" ht="22" customHeight="1">
      <c r="A71" s="1"/>
      <c r="B71" s="1"/>
      <c r="C71" s="1"/>
      <c r="D71" s="1"/>
      <c r="E71" s="1"/>
      <c r="F71" s="1"/>
      <c r="G71" s="1"/>
      <c r="H71" s="1"/>
    </row>
    <row r="72" spans="1:8" ht="22" customHeight="1">
      <c r="A72" s="1"/>
      <c r="B72" s="1"/>
      <c r="C72" s="1"/>
      <c r="D72" s="1"/>
      <c r="E72" s="1"/>
      <c r="F72" s="1"/>
      <c r="G72" s="1"/>
      <c r="H72" s="1"/>
    </row>
    <row r="73" spans="1:8" ht="22" customHeight="1">
      <c r="A73" s="1"/>
      <c r="B73" s="1"/>
      <c r="C73" s="1"/>
      <c r="D73" s="1"/>
      <c r="E73" s="1"/>
      <c r="F73" s="1"/>
      <c r="G73" s="1"/>
      <c r="H73" s="1"/>
    </row>
    <row r="74" spans="1:8" ht="22" customHeight="1">
      <c r="A74" s="1"/>
      <c r="B74" s="1"/>
      <c r="C74" s="1"/>
      <c r="D74" s="1"/>
      <c r="E74" s="1"/>
      <c r="F74" s="1"/>
      <c r="G74" s="1"/>
      <c r="H74" s="1"/>
    </row>
    <row r="75" spans="1:8" ht="22" customHeight="1">
      <c r="A75" s="1"/>
      <c r="B75" s="1"/>
      <c r="C75" s="1"/>
      <c r="D75" s="1"/>
      <c r="E75" s="1"/>
      <c r="F75" s="1"/>
      <c r="G75" s="1"/>
      <c r="H75" s="1"/>
    </row>
    <row r="76" spans="1:8" ht="22" customHeight="1">
      <c r="A76" s="1"/>
      <c r="B76" s="1"/>
      <c r="C76" s="1"/>
      <c r="D76" s="1"/>
      <c r="E76" s="1"/>
      <c r="F76" s="1"/>
      <c r="G76" s="1"/>
      <c r="H76" s="1"/>
    </row>
    <row r="77" spans="1:8" ht="22" customHeight="1">
      <c r="A77" s="1"/>
      <c r="B77" s="1"/>
      <c r="C77" s="1"/>
      <c r="D77" s="1"/>
      <c r="E77" s="1"/>
      <c r="F77" s="1"/>
      <c r="G77" s="1"/>
      <c r="H77" s="1"/>
    </row>
    <row r="78" spans="1:8" ht="22" customHeight="1">
      <c r="A78" s="1"/>
      <c r="B78" s="1"/>
      <c r="C78" s="1"/>
      <c r="D78" s="1"/>
      <c r="E78" s="1"/>
      <c r="F78" s="1"/>
      <c r="G78" s="1"/>
      <c r="H78" s="1"/>
    </row>
    <row r="79" spans="1:8" ht="22" customHeight="1">
      <c r="A79" s="1"/>
      <c r="B79" s="1"/>
      <c r="C79" s="1"/>
      <c r="D79" s="1"/>
      <c r="E79" s="1"/>
      <c r="F79" s="1"/>
      <c r="G79" s="1"/>
      <c r="H79" s="1"/>
    </row>
    <row r="80" spans="1:8" ht="22" customHeight="1">
      <c r="A80" s="1"/>
      <c r="B80" s="1"/>
      <c r="C80" s="1"/>
      <c r="D80" s="1"/>
      <c r="E80" s="1"/>
      <c r="F80" s="1"/>
      <c r="G80" s="1"/>
      <c r="H80" s="1"/>
    </row>
    <row r="81" spans="1:8" ht="22" customHeight="1">
      <c r="A81" s="1"/>
      <c r="B81" s="1"/>
      <c r="C81" s="1"/>
      <c r="D81" s="1"/>
      <c r="E81" s="1"/>
      <c r="F81" s="1"/>
      <c r="G81" s="1"/>
      <c r="H81" s="1"/>
    </row>
    <row r="82" spans="1:8" ht="22" customHeight="1">
      <c r="A82" s="1"/>
      <c r="B82" s="1"/>
      <c r="C82" s="1"/>
      <c r="D82" s="1"/>
      <c r="E82" s="1"/>
      <c r="F82" s="1"/>
      <c r="G82" s="1"/>
      <c r="H82" s="1"/>
    </row>
    <row r="83" spans="1:8" ht="22" customHeight="1">
      <c r="A83" s="1"/>
      <c r="B83" s="1"/>
      <c r="C83" s="1"/>
      <c r="D83" s="1"/>
      <c r="E83" s="1"/>
      <c r="F83" s="1"/>
      <c r="G83" s="1"/>
      <c r="H83" s="1"/>
    </row>
    <row r="84" spans="1:8" ht="22" customHeight="1">
      <c r="A84" s="1"/>
      <c r="B84" s="1"/>
      <c r="C84" s="1"/>
      <c r="D84" s="1"/>
      <c r="E84" s="1"/>
      <c r="F84" s="1"/>
      <c r="G84" s="1"/>
      <c r="H84" s="1"/>
    </row>
    <row r="85" spans="1:8" ht="22" customHeight="1">
      <c r="A85" s="1"/>
      <c r="B85" s="1"/>
      <c r="C85" s="1"/>
      <c r="D85" s="1"/>
      <c r="E85" s="1"/>
      <c r="F85" s="1"/>
      <c r="G85" s="1"/>
      <c r="H85" s="1"/>
    </row>
    <row r="86" spans="1:8" ht="22" customHeight="1">
      <c r="A86" s="1"/>
      <c r="B86" s="1"/>
      <c r="C86" s="1"/>
      <c r="D86" s="1"/>
      <c r="E86" s="1"/>
      <c r="F86" s="1"/>
      <c r="G86" s="1"/>
      <c r="H86" s="1"/>
    </row>
    <row r="87" spans="1:8" ht="22" customHeight="1">
      <c r="A87" s="1"/>
      <c r="B87" s="1"/>
      <c r="C87" s="1"/>
      <c r="D87" s="1"/>
      <c r="E87" s="1"/>
      <c r="F87" s="1"/>
      <c r="G87" s="1"/>
      <c r="H87" s="1"/>
    </row>
    <row r="88" spans="1:8" ht="22" customHeight="1">
      <c r="A88" s="1"/>
      <c r="B88" s="1"/>
      <c r="C88" s="1"/>
      <c r="D88" s="1"/>
      <c r="E88" s="1"/>
      <c r="F88" s="1"/>
      <c r="G88" s="1"/>
      <c r="H88" s="1"/>
    </row>
    <row r="89" spans="1:8" ht="22" customHeight="1">
      <c r="A89" s="1"/>
      <c r="B89" s="1"/>
      <c r="C89" s="1"/>
      <c r="D89" s="1"/>
      <c r="E89" s="1"/>
      <c r="F89" s="1"/>
      <c r="G89" s="1"/>
      <c r="H89" s="1"/>
    </row>
    <row r="90" spans="1:8" ht="22" customHeight="1">
      <c r="A90" s="1"/>
      <c r="B90" s="1"/>
      <c r="C90" s="1"/>
      <c r="D90" s="1"/>
      <c r="E90" s="1"/>
      <c r="F90" s="1"/>
      <c r="G90" s="1"/>
      <c r="H90" s="1"/>
    </row>
  </sheetData>
  <sheetProtection sheet="1" objects="1" scenarios="1"/>
  <mergeCells count="11">
    <mergeCell ref="A1:H2"/>
    <mergeCell ref="C5:H5"/>
    <mergeCell ref="C6:H6"/>
    <mergeCell ref="C7:H7"/>
    <mergeCell ref="C8:H8"/>
    <mergeCell ref="A25:H26"/>
    <mergeCell ref="C9:H9"/>
    <mergeCell ref="C10:H10"/>
    <mergeCell ref="C11:H11"/>
    <mergeCell ref="C12:H12"/>
    <mergeCell ref="A21:H22"/>
  </mergeCells>
  <dataValidations count="1">
    <dataValidation type="list" sqref="B9 B11" xr:uid="{00000000-0002-0000-0100-000000000000}">
      <formula1>"monthly,fortnightly,weekly"</formula1>
    </dataValidation>
  </dataValidations>
  <pageMargins left="0.39370078740157477" right="0.39370078740157477" top="0.39370078740157477" bottom="0.39370078740157477" header="0.3" footer="0.3"/>
  <pageSetup paperSize="9" scale="77" orientation="landscape" r:id="rId1"/>
  <headerFooter>
    <oddFooter>&amp;CCalcy | Page &amp;P&amp;Rcalcy.com.au</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AF4EE"/>
    <pageSetUpPr fitToPage="1"/>
  </sheetPr>
  <dimension ref="A1:H90"/>
  <sheetViews>
    <sheetView showGridLines="0" zoomScaleNormal="100" workbookViewId="0">
      <pane ySplit="6" topLeftCell="A7" activePane="bottomLeft" state="frozen"/>
      <selection pane="bottomLeft" sqref="A1:H2"/>
    </sheetView>
  </sheetViews>
  <sheetFormatPr defaultRowHeight="14.15"/>
  <cols>
    <col min="1" max="1" width="28" customWidth="1"/>
    <col min="2" max="8" width="16" customWidth="1"/>
  </cols>
  <sheetData>
    <row r="1" spans="1:8" ht="22" customHeight="1">
      <c r="A1" s="12" t="s">
        <v>38</v>
      </c>
      <c r="B1" s="12" t="s">
        <v>38</v>
      </c>
      <c r="C1" s="12" t="s">
        <v>38</v>
      </c>
      <c r="D1" s="12" t="s">
        <v>38</v>
      </c>
      <c r="E1" s="12" t="s">
        <v>38</v>
      </c>
      <c r="F1" s="12" t="s">
        <v>38</v>
      </c>
      <c r="G1" s="12" t="s">
        <v>38</v>
      </c>
      <c r="H1" s="12" t="s">
        <v>38</v>
      </c>
    </row>
    <row r="2" spans="1:8" ht="22" customHeight="1">
      <c r="A2" s="12" t="s">
        <v>38</v>
      </c>
      <c r="B2" s="12" t="s">
        <v>38</v>
      </c>
      <c r="C2" s="12" t="s">
        <v>38</v>
      </c>
      <c r="D2" s="12" t="s">
        <v>38</v>
      </c>
      <c r="E2" s="12" t="s">
        <v>38</v>
      </c>
      <c r="F2" s="12" t="s">
        <v>38</v>
      </c>
      <c r="G2" s="12" t="s">
        <v>38</v>
      </c>
      <c r="H2" s="12" t="s">
        <v>38</v>
      </c>
    </row>
    <row r="3" spans="1:8" ht="22" customHeight="1">
      <c r="A3" s="1"/>
      <c r="B3" s="1"/>
      <c r="C3" s="1"/>
      <c r="D3" s="1"/>
      <c r="E3" s="1"/>
      <c r="F3" s="1"/>
      <c r="G3" s="1"/>
      <c r="H3" s="1"/>
    </row>
    <row r="4" spans="1:8" ht="22" customHeight="1">
      <c r="A4" s="1"/>
      <c r="B4" s="1"/>
      <c r="C4" s="1"/>
      <c r="D4" s="1"/>
      <c r="E4" s="1"/>
      <c r="F4" s="1"/>
      <c r="G4" s="1"/>
      <c r="H4" s="1"/>
    </row>
    <row r="5" spans="1:8" ht="22" customHeight="1">
      <c r="A5" s="1"/>
      <c r="B5" s="1"/>
      <c r="C5" s="1"/>
      <c r="D5" s="1"/>
      <c r="E5" s="1"/>
      <c r="F5" s="1"/>
      <c r="G5" s="1"/>
      <c r="H5" s="1"/>
    </row>
    <row r="6" spans="1:8" ht="32.049999999999997" customHeight="1">
      <c r="A6" s="3" t="s">
        <v>39</v>
      </c>
      <c r="B6" s="3" t="s">
        <v>40</v>
      </c>
      <c r="C6" s="3" t="s">
        <v>41</v>
      </c>
      <c r="D6" s="3" t="s">
        <v>42</v>
      </c>
      <c r="E6" s="3" t="s">
        <v>8</v>
      </c>
      <c r="F6" s="3" t="s">
        <v>9</v>
      </c>
      <c r="G6" s="3" t="s">
        <v>43</v>
      </c>
      <c r="H6" s="3" t="s">
        <v>6</v>
      </c>
    </row>
    <row r="7" spans="1:8" ht="22" customHeight="1">
      <c r="A7" s="1" t="s">
        <v>44</v>
      </c>
      <c r="B7" s="2">
        <v>0</v>
      </c>
      <c r="C7" s="1">
        <f>IF('Loan Inputs'!$B$12,IF('Loan Inputs'!$B$5=0,0,ROUNDUP((IF('Loan Inputs'!$B$15=0,'Loan Inputs'!$B$5/('Loan Inputs'!$B$17+B7*12/'Loan Inputs'!$B$14),-LN(1-'Loan Inputs'!$B$5*'Loan Inputs'!$B$15/('Loan Inputs'!$B$17+B7*12/'Loan Inputs'!$B$14))/LN(1+'Loan Inputs'!$B$15)))-0.0000000001,0)),"")</f>
        <v>360</v>
      </c>
      <c r="D7" s="2">
        <f>IF('Loan Inputs'!$B$12,IF('Loan Inputs'!$B$5=0,0,ROUND(MAX(0,(C7-1)*('Loan Inputs'!$B$17+B7*12/'Loan Inputs'!$B$14)+(IF('Loan Inputs'!$B$15=0,'Loan Inputs'!$B$5-(('Loan Inputs'!$B$17+B7*12/'Loan Inputs'!$B$14))*(C7-1),'Loan Inputs'!$B$5*(1+'Loan Inputs'!$B$15)^(C7-1)-('Loan Inputs'!$B$17+B7*12/'Loan Inputs'!$B$14)*((1+'Loan Inputs'!$B$15)^(C7-1)-1)/'Loan Inputs'!$B$15)*(1+'Loan Inputs'!$B$15))-'Loan Inputs'!$B$5),0)),"")</f>
        <v>812152</v>
      </c>
      <c r="E7" s="2">
        <f>IF('Loan Inputs'!$B$12,MAX(0,$D$7-D7),"")</f>
        <v>0</v>
      </c>
      <c r="F7" s="1">
        <f>IF('Loan Inputs'!$B$12,MAX(0,ROUND($C$7/'Loan Inputs'!$B$14*12,0)-ROUND(C7/'Loan Inputs'!$B$14*12,0)),"")</f>
        <v>0</v>
      </c>
      <c r="G7" s="2">
        <f>IF('Loan Inputs'!$B$12,IF('Loan Inputs'!$B$5=0,0,(C7-1)*B7*12/'Loan Inputs'!$B$14+MIN(B7*12/'Loan Inputs'!$B$14,MAX(0,(IF('Loan Inputs'!$B$15=0,'Loan Inputs'!$B$5-(('Loan Inputs'!$B$17+B7*12/'Loan Inputs'!$B$14))*(C7-1),'Loan Inputs'!$B$5*(1+'Loan Inputs'!$B$15)^(C7-1)-('Loan Inputs'!$B$17+B7*12/'Loan Inputs'!$B$14)*((1+'Loan Inputs'!$B$15)^(C7-1)-1)/'Loan Inputs'!$B$15)*(1+'Loan Inputs'!$B$15))-'Loan Inputs'!$B$17))),"")</f>
        <v>0</v>
      </c>
      <c r="H7" s="4">
        <f>IF('Loan Inputs'!$B$12,DATE(YEAR('Loan Inputs'!$B$8),MONTH('Loan Inputs'!$B$8)+ROUND(C7/'Loan Inputs'!$B$14*12,0),DAY('Loan Inputs'!$B$8)),"")</f>
        <v>57285</v>
      </c>
    </row>
    <row r="8" spans="1:8" ht="22" customHeight="1">
      <c r="A8" s="1" t="s">
        <v>45</v>
      </c>
      <c r="B8" s="2">
        <v>100</v>
      </c>
      <c r="C8" s="1">
        <f>IF('Loan Inputs'!$B$12,IF('Loan Inputs'!$B$5=0,0,ROUNDUP((IF('Loan Inputs'!$B$15=0,'Loan Inputs'!$B$5/('Loan Inputs'!$B$17+B8*12/'Loan Inputs'!$B$14),-LN(1-'Loan Inputs'!$B$5*'Loan Inputs'!$B$15/('Loan Inputs'!$B$17+B8*12/'Loan Inputs'!$B$14))/LN(1+'Loan Inputs'!$B$15)))-0.0000000001,0)),"")</f>
        <v>336</v>
      </c>
      <c r="D8" s="2">
        <f>IF('Loan Inputs'!$B$12,IF('Loan Inputs'!$B$5=0,0,ROUND(MAX(0,(C8-1)*('Loan Inputs'!$B$17+B8*12/'Loan Inputs'!$B$14)+(IF('Loan Inputs'!$B$15=0,'Loan Inputs'!$B$5-(('Loan Inputs'!$B$17+B8*12/'Loan Inputs'!$B$14))*(C8-1),'Loan Inputs'!$B$5*(1+'Loan Inputs'!$B$15)^(C8-1)-('Loan Inputs'!$B$17+B8*12/'Loan Inputs'!$B$14)*((1+'Loan Inputs'!$B$15)^(C8-1)-1)/'Loan Inputs'!$B$15)*(1+'Loan Inputs'!$B$15))-'Loan Inputs'!$B$5),0)),"")</f>
        <v>746476</v>
      </c>
      <c r="E8" s="2">
        <f>IF('Loan Inputs'!$B$12,MAX(0,$D$7-D8),"")</f>
        <v>65676</v>
      </c>
      <c r="F8" s="1">
        <f>IF('Loan Inputs'!$B$12,MAX(0,ROUND($C$7/'Loan Inputs'!$B$14*12,0)-ROUND(C8/'Loan Inputs'!$B$14*12,0)),"")</f>
        <v>24</v>
      </c>
      <c r="G8" s="2">
        <f>IF('Loan Inputs'!$B$12,IF('Loan Inputs'!$B$5=0,0,(C8-1)*B8*12/'Loan Inputs'!$B$14+MIN(B8*12/'Loan Inputs'!$B$14,MAX(0,(IF('Loan Inputs'!$B$15=0,'Loan Inputs'!$B$5-(('Loan Inputs'!$B$17+B8*12/'Loan Inputs'!$B$14))*(C8-1),'Loan Inputs'!$B$5*(1+'Loan Inputs'!$B$15)^(C8-1)-('Loan Inputs'!$B$17+B8*12/'Loan Inputs'!$B$14)*((1+'Loan Inputs'!$B$15)^(C8-1)-1)/'Loan Inputs'!$B$15)*(1+'Loan Inputs'!$B$15))-'Loan Inputs'!$B$17))),"")</f>
        <v>33500</v>
      </c>
      <c r="H8" s="4">
        <f>IF('Loan Inputs'!$B$12,DATE(YEAR('Loan Inputs'!$B$8),MONTH('Loan Inputs'!$B$8)+ROUND(C8/'Loan Inputs'!$B$14*12,0),DAY('Loan Inputs'!$B$8)),"")</f>
        <v>56554</v>
      </c>
    </row>
    <row r="9" spans="1:8" ht="22" customHeight="1">
      <c r="A9" s="1" t="s">
        <v>46</v>
      </c>
      <c r="B9" s="2">
        <v>250</v>
      </c>
      <c r="C9" s="1">
        <f>IF('Loan Inputs'!$B$12,IF('Loan Inputs'!$B$5=0,0,ROUNDUP((IF('Loan Inputs'!$B$15=0,'Loan Inputs'!$B$5/('Loan Inputs'!$B$17+B9*12/'Loan Inputs'!$B$14),-LN(1-'Loan Inputs'!$B$5*'Loan Inputs'!$B$15/('Loan Inputs'!$B$17+B9*12/'Loan Inputs'!$B$14))/LN(1+'Loan Inputs'!$B$15)))-0.0000000001,0)),"")</f>
        <v>306</v>
      </c>
      <c r="D9" s="2">
        <f>IF('Loan Inputs'!$B$12,IF('Loan Inputs'!$B$5=0,0,ROUND(MAX(0,(C9-1)*('Loan Inputs'!$B$17+B9*12/'Loan Inputs'!$B$14)+(IF('Loan Inputs'!$B$15=0,'Loan Inputs'!$B$5-(('Loan Inputs'!$B$17+B9*12/'Loan Inputs'!$B$14))*(C9-1),'Loan Inputs'!$B$5*(1+'Loan Inputs'!$B$15)^(C9-1)-('Loan Inputs'!$B$17+B9*12/'Loan Inputs'!$B$14)*((1+'Loan Inputs'!$B$15)^(C9-1)-1)/'Loan Inputs'!$B$15)*(1+'Loan Inputs'!$B$15))-'Loan Inputs'!$B$5),0)),"")</f>
        <v>667994</v>
      </c>
      <c r="E9" s="2">
        <f>IF('Loan Inputs'!$B$12,MAX(0,$D$7-D9),"")</f>
        <v>144158</v>
      </c>
      <c r="F9" s="1">
        <f>IF('Loan Inputs'!$B$12,MAX(0,ROUND($C$7/'Loan Inputs'!$B$14*12,0)-ROUND(C9/'Loan Inputs'!$B$14*12,0)),"")</f>
        <v>54</v>
      </c>
      <c r="G9" s="2">
        <f>IF('Loan Inputs'!$B$12,IF('Loan Inputs'!$B$5=0,0,(C9-1)*B9*12/'Loan Inputs'!$B$14+MIN(B9*12/'Loan Inputs'!$B$14,MAX(0,(IF('Loan Inputs'!$B$15=0,'Loan Inputs'!$B$5-(('Loan Inputs'!$B$17+B9*12/'Loan Inputs'!$B$14))*(C9-1),'Loan Inputs'!$B$5*(1+'Loan Inputs'!$B$15)^(C9-1)-('Loan Inputs'!$B$17+B9*12/'Loan Inputs'!$B$14)*((1+'Loan Inputs'!$B$15)^(C9-1)-1)/'Loan Inputs'!$B$15)*(1+'Loan Inputs'!$B$15))-'Loan Inputs'!$B$17))),"")</f>
        <v>76250</v>
      </c>
      <c r="H9" s="4">
        <f>IF('Loan Inputs'!$B$12,DATE(YEAR('Loan Inputs'!$B$8),MONTH('Loan Inputs'!$B$8)+ROUND(C9/'Loan Inputs'!$B$14*12,0),DAY('Loan Inputs'!$B$8)),"")</f>
        <v>55640</v>
      </c>
    </row>
    <row r="10" spans="1:8" ht="22" customHeight="1">
      <c r="A10" s="1" t="s">
        <v>47</v>
      </c>
      <c r="B10" s="2">
        <v>500</v>
      </c>
      <c r="C10" s="1">
        <f>IF('Loan Inputs'!$B$12,IF('Loan Inputs'!$B$5=0,0,ROUNDUP((IF('Loan Inputs'!$B$15=0,'Loan Inputs'!$B$5/('Loan Inputs'!$B$17+B10*12/'Loan Inputs'!$B$14),-LN(1-'Loan Inputs'!$B$5*'Loan Inputs'!$B$15/('Loan Inputs'!$B$17+B10*12/'Loan Inputs'!$B$14))/LN(1+'Loan Inputs'!$B$15)))-0.0000000001,0)),"")</f>
        <v>268</v>
      </c>
      <c r="D10" s="2">
        <f>IF('Loan Inputs'!$B$12,IF('Loan Inputs'!$B$5=0,0,ROUND(MAX(0,(C10-1)*('Loan Inputs'!$B$17+B10*12/'Loan Inputs'!$B$14)+(IF('Loan Inputs'!$B$15=0,'Loan Inputs'!$B$5-(('Loan Inputs'!$B$17+B10*12/'Loan Inputs'!$B$14))*(C10-1),'Loan Inputs'!$B$5*(1+'Loan Inputs'!$B$15)^(C10-1)-('Loan Inputs'!$B$17+B10*12/'Loan Inputs'!$B$14)*((1+'Loan Inputs'!$B$15)^(C10-1)-1)/'Loan Inputs'!$B$15)*(1+'Loan Inputs'!$B$15))-'Loan Inputs'!$B$5),0)),"")</f>
        <v>571443</v>
      </c>
      <c r="E10" s="2">
        <f>IF('Loan Inputs'!$B$12,MAX(0,$D$7-D10),"")</f>
        <v>240709</v>
      </c>
      <c r="F10" s="1">
        <f>IF('Loan Inputs'!$B$12,MAX(0,ROUND($C$7/'Loan Inputs'!$B$14*12,0)-ROUND(C10/'Loan Inputs'!$B$14*12,0)),"")</f>
        <v>92</v>
      </c>
      <c r="G10" s="2">
        <f>IF('Loan Inputs'!$B$12,IF('Loan Inputs'!$B$5=0,0,(C10-1)*B10*12/'Loan Inputs'!$B$14+MIN(B10*12/'Loan Inputs'!$B$14,MAX(0,(IF('Loan Inputs'!$B$15=0,'Loan Inputs'!$B$5-(('Loan Inputs'!$B$17+B10*12/'Loan Inputs'!$B$14))*(C10-1),'Loan Inputs'!$B$5*(1+'Loan Inputs'!$B$15)^(C10-1)-('Loan Inputs'!$B$17+B10*12/'Loan Inputs'!$B$14)*((1+'Loan Inputs'!$B$15)^(C10-1)-1)/'Loan Inputs'!$B$15)*(1+'Loan Inputs'!$B$15))-'Loan Inputs'!$B$17))),"")</f>
        <v>133500</v>
      </c>
      <c r="H10" s="4">
        <f>IF('Loan Inputs'!$B$12,DATE(YEAR('Loan Inputs'!$B$8),MONTH('Loan Inputs'!$B$8)+ROUND(C10/'Loan Inputs'!$B$14*12,0),DAY('Loan Inputs'!$B$8)),"")</f>
        <v>54483</v>
      </c>
    </row>
    <row r="11" spans="1:8" ht="22" customHeight="1">
      <c r="A11" s="1" t="s">
        <v>48</v>
      </c>
      <c r="B11" s="2">
        <v>1000</v>
      </c>
      <c r="C11" s="1">
        <f>IF('Loan Inputs'!$B$12,IF('Loan Inputs'!$B$5=0,0,ROUNDUP((IF('Loan Inputs'!$B$15=0,'Loan Inputs'!$B$5/('Loan Inputs'!$B$17+B11*12/'Loan Inputs'!$B$14),-LN(1-'Loan Inputs'!$B$5*'Loan Inputs'!$B$15/('Loan Inputs'!$B$17+B11*12/'Loan Inputs'!$B$14))/LN(1+'Loan Inputs'!$B$15)))-0.0000000001,0)),"")</f>
        <v>217</v>
      </c>
      <c r="D11" s="2">
        <f>IF('Loan Inputs'!$B$12,IF('Loan Inputs'!$B$5=0,0,ROUND(MAX(0,(C11-1)*('Loan Inputs'!$B$17+B11*12/'Loan Inputs'!$B$14)+(IF('Loan Inputs'!$B$15=0,'Loan Inputs'!$B$5-(('Loan Inputs'!$B$17+B11*12/'Loan Inputs'!$B$14))*(C11-1),'Loan Inputs'!$B$5*(1+'Loan Inputs'!$B$15)^(C11-1)-('Loan Inputs'!$B$17+B11*12/'Loan Inputs'!$B$14)*((1+'Loan Inputs'!$B$15)^(C11-1)-1)/'Loan Inputs'!$B$15)*(1+'Loan Inputs'!$B$15))-'Loan Inputs'!$B$5),0)),"")</f>
        <v>447430</v>
      </c>
      <c r="E11" s="2">
        <f>IF('Loan Inputs'!$B$12,MAX(0,$D$7-D11),"")</f>
        <v>364722</v>
      </c>
      <c r="F11" s="1">
        <f>IF('Loan Inputs'!$B$12,MAX(0,ROUND($C$7/'Loan Inputs'!$B$14*12,0)-ROUND(C11/'Loan Inputs'!$B$14*12,0)),"")</f>
        <v>143</v>
      </c>
      <c r="G11" s="2">
        <f>IF('Loan Inputs'!$B$12,IF('Loan Inputs'!$B$5=0,0,(C11-1)*B11*12/'Loan Inputs'!$B$14+MIN(B11*12/'Loan Inputs'!$B$14,MAX(0,(IF('Loan Inputs'!$B$15=0,'Loan Inputs'!$B$5-(('Loan Inputs'!$B$17+B11*12/'Loan Inputs'!$B$14))*(C11-1),'Loan Inputs'!$B$5*(1+'Loan Inputs'!$B$15)^(C11-1)-('Loan Inputs'!$B$17+B11*12/'Loan Inputs'!$B$14)*((1+'Loan Inputs'!$B$15)^(C11-1)-1)/'Loan Inputs'!$B$15)*(1+'Loan Inputs'!$B$15))-'Loan Inputs'!$B$17))),"")</f>
        <v>216077.03467552282</v>
      </c>
      <c r="H11" s="4">
        <f>IF('Loan Inputs'!$B$12,DATE(YEAR('Loan Inputs'!$B$8),MONTH('Loan Inputs'!$B$8)+ROUND(C11/'Loan Inputs'!$B$14*12,0),DAY('Loan Inputs'!$B$8)),"")</f>
        <v>52932</v>
      </c>
    </row>
    <row r="12" spans="1:8" ht="22" customHeight="1">
      <c r="A12" s="1" t="s">
        <v>49</v>
      </c>
      <c r="B12" s="2">
        <f>IF('Loan Inputs'!$B$12,'Loan Inputs'!$B$18*'Loan Inputs'!$B$14/12,0)</f>
        <v>250</v>
      </c>
      <c r="C12" s="1">
        <f>IF('Loan Inputs'!$B$12,IF('Loan Inputs'!$B$5=0,0,ROUNDUP((IF('Loan Inputs'!$B$15=0,'Loan Inputs'!$B$5/('Loan Inputs'!$B$17+B12*12/'Loan Inputs'!$B$14),-LN(1-'Loan Inputs'!$B$5*'Loan Inputs'!$B$15/('Loan Inputs'!$B$17+B12*12/'Loan Inputs'!$B$14))/LN(1+'Loan Inputs'!$B$15)))-0.0000000001,0)),"")</f>
        <v>306</v>
      </c>
      <c r="D12" s="2">
        <f>IF('Loan Inputs'!$B$12,IF('Loan Inputs'!$B$5=0,0,ROUND(MAX(0,(C12-1)*('Loan Inputs'!$B$17+B12*12/'Loan Inputs'!$B$14)+(IF('Loan Inputs'!$B$15=0,'Loan Inputs'!$B$5-(('Loan Inputs'!$B$17+B12*12/'Loan Inputs'!$B$14))*(C12-1),'Loan Inputs'!$B$5*(1+'Loan Inputs'!$B$15)^(C12-1)-('Loan Inputs'!$B$17+B12*12/'Loan Inputs'!$B$14)*((1+'Loan Inputs'!$B$15)^(C12-1)-1)/'Loan Inputs'!$B$15)*(1+'Loan Inputs'!$B$15))-'Loan Inputs'!$B$5),0)),"")</f>
        <v>667994</v>
      </c>
      <c r="E12" s="2">
        <f>IF('Loan Inputs'!$B$12,MAX(0,$D$7-D12),"")</f>
        <v>144158</v>
      </c>
      <c r="F12" s="1">
        <f>IF('Loan Inputs'!$B$12,MAX(0,ROUND($C$7/'Loan Inputs'!$B$14*12,0)-ROUND(C12/'Loan Inputs'!$B$14*12,0)),"")</f>
        <v>54</v>
      </c>
      <c r="G12" s="2">
        <f>IF('Loan Inputs'!$B$12,IF('Loan Inputs'!$B$5=0,0,(C12-1)*B12*12/'Loan Inputs'!$B$14+MIN(B12*12/'Loan Inputs'!$B$14,MAX(0,(IF('Loan Inputs'!$B$15=0,'Loan Inputs'!$B$5-(('Loan Inputs'!$B$17+B12*12/'Loan Inputs'!$B$14))*(C12-1),'Loan Inputs'!$B$5*(1+'Loan Inputs'!$B$15)^(C12-1)-('Loan Inputs'!$B$17+B12*12/'Loan Inputs'!$B$14)*((1+'Loan Inputs'!$B$15)^(C12-1)-1)/'Loan Inputs'!$B$15)*(1+'Loan Inputs'!$B$15))-'Loan Inputs'!$B$17))),"")</f>
        <v>76250</v>
      </c>
      <c r="H12" s="4">
        <f>IF('Loan Inputs'!$B$12,DATE(YEAR('Loan Inputs'!$B$8),MONTH('Loan Inputs'!$B$8)+ROUND(C12/'Loan Inputs'!$B$14*12,0),DAY('Loan Inputs'!$B$8)),"")</f>
        <v>55640</v>
      </c>
    </row>
    <row r="13" spans="1:8" ht="22" customHeight="1">
      <c r="A13" s="1"/>
      <c r="B13" s="1"/>
      <c r="C13" s="1"/>
      <c r="D13" s="1"/>
      <c r="E13" s="1"/>
      <c r="F13" s="1"/>
      <c r="G13" s="1"/>
      <c r="H13" s="1"/>
    </row>
    <row r="14" spans="1:8" ht="22" customHeight="1">
      <c r="A14" s="1"/>
      <c r="B14" s="1"/>
      <c r="C14" s="1"/>
      <c r="D14" s="1"/>
      <c r="E14" s="1"/>
      <c r="F14" s="1"/>
      <c r="G14" s="1"/>
      <c r="H14" s="1"/>
    </row>
    <row r="15" spans="1:8" ht="24" customHeight="1">
      <c r="A15" s="14" t="s">
        <v>50</v>
      </c>
      <c r="B15" s="14" t="s">
        <v>50</v>
      </c>
      <c r="C15" s="14" t="s">
        <v>50</v>
      </c>
      <c r="D15" s="14" t="s">
        <v>50</v>
      </c>
      <c r="E15" s="14" t="s">
        <v>50</v>
      </c>
      <c r="F15" s="14" t="s">
        <v>50</v>
      </c>
      <c r="G15" s="14" t="s">
        <v>50</v>
      </c>
      <c r="H15" s="14" t="s">
        <v>50</v>
      </c>
    </row>
    <row r="16" spans="1:8" ht="24" customHeight="1">
      <c r="A16" s="14" t="s">
        <v>50</v>
      </c>
      <c r="B16" s="14" t="s">
        <v>50</v>
      </c>
      <c r="C16" s="14" t="s">
        <v>50</v>
      </c>
      <c r="D16" s="14" t="s">
        <v>50</v>
      </c>
      <c r="E16" s="14" t="s">
        <v>50</v>
      </c>
      <c r="F16" s="14" t="s">
        <v>50</v>
      </c>
      <c r="G16" s="14" t="s">
        <v>50</v>
      </c>
      <c r="H16" s="14" t="s">
        <v>50</v>
      </c>
    </row>
    <row r="17" spans="1:8" ht="22" customHeight="1">
      <c r="A17" s="1"/>
      <c r="B17" s="1"/>
      <c r="C17" s="1"/>
      <c r="D17" s="1"/>
      <c r="E17" s="1"/>
      <c r="F17" s="1"/>
      <c r="G17" s="1"/>
      <c r="H17" s="1"/>
    </row>
    <row r="18" spans="1:8" ht="22" customHeight="1">
      <c r="A18" s="1"/>
      <c r="B18" s="1"/>
      <c r="C18" s="1"/>
      <c r="D18" s="1"/>
      <c r="E18" s="1"/>
      <c r="F18" s="1"/>
      <c r="G18" s="1"/>
      <c r="H18" s="1"/>
    </row>
    <row r="19" spans="1:8" ht="22" customHeight="1">
      <c r="A19" s="1"/>
      <c r="B19" s="1"/>
      <c r="C19" s="1"/>
      <c r="D19" s="1"/>
      <c r="E19" s="1"/>
      <c r="F19" s="1"/>
      <c r="G19" s="1"/>
      <c r="H19" s="1"/>
    </row>
    <row r="20" spans="1:8" ht="22" customHeight="1">
      <c r="A20" s="1"/>
      <c r="B20" s="1"/>
      <c r="C20" s="1"/>
      <c r="D20" s="1"/>
      <c r="E20" s="1"/>
      <c r="F20" s="1"/>
      <c r="G20" s="1"/>
      <c r="H20" s="1"/>
    </row>
    <row r="21" spans="1:8" ht="22" customHeight="1">
      <c r="A21" s="1"/>
      <c r="B21" s="1"/>
      <c r="C21" s="1"/>
      <c r="D21" s="1"/>
      <c r="E21" s="1"/>
      <c r="F21" s="1"/>
      <c r="G21" s="1"/>
      <c r="H21" s="1"/>
    </row>
    <row r="22" spans="1:8" ht="22" customHeight="1">
      <c r="A22" s="1"/>
      <c r="B22" s="1"/>
      <c r="C22" s="1"/>
      <c r="D22" s="1"/>
      <c r="E22" s="1"/>
      <c r="F22" s="1"/>
      <c r="G22" s="1"/>
      <c r="H22" s="1"/>
    </row>
    <row r="23" spans="1:8" ht="22" customHeight="1">
      <c r="A23" s="1"/>
      <c r="B23" s="1"/>
      <c r="C23" s="1"/>
      <c r="D23" s="1"/>
      <c r="E23" s="1"/>
      <c r="F23" s="1"/>
      <c r="G23" s="1"/>
      <c r="H23" s="1"/>
    </row>
    <row r="24" spans="1:8" ht="22" customHeight="1">
      <c r="A24" s="1"/>
      <c r="B24" s="1"/>
      <c r="C24" s="1"/>
      <c r="D24" s="1"/>
      <c r="E24" s="1"/>
      <c r="F24" s="1"/>
      <c r="G24" s="1"/>
      <c r="H24" s="1"/>
    </row>
    <row r="25" spans="1:8" ht="22" customHeight="1">
      <c r="A25" s="1"/>
      <c r="B25" s="1"/>
      <c r="C25" s="1"/>
      <c r="D25" s="1"/>
      <c r="E25" s="1"/>
      <c r="F25" s="1"/>
      <c r="G25" s="1"/>
      <c r="H25" s="1"/>
    </row>
    <row r="26" spans="1:8" ht="22" customHeight="1">
      <c r="A26" s="1"/>
      <c r="B26" s="1"/>
      <c r="C26" s="1"/>
      <c r="D26" s="1"/>
      <c r="E26" s="1"/>
      <c r="F26" s="1"/>
      <c r="G26" s="1"/>
      <c r="H26" s="1"/>
    </row>
    <row r="27" spans="1:8" ht="22" customHeight="1">
      <c r="A27" s="1"/>
      <c r="B27" s="1"/>
      <c r="C27" s="1"/>
      <c r="D27" s="1"/>
      <c r="E27" s="1"/>
      <c r="F27" s="1"/>
      <c r="G27" s="1"/>
      <c r="H27" s="1"/>
    </row>
    <row r="28" spans="1:8" ht="22" customHeight="1">
      <c r="A28" s="1"/>
      <c r="B28" s="1"/>
      <c r="C28" s="1"/>
      <c r="D28" s="1"/>
      <c r="E28" s="1"/>
      <c r="F28" s="1"/>
      <c r="G28" s="1"/>
      <c r="H28" s="1"/>
    </row>
    <row r="29" spans="1:8" ht="22" customHeight="1">
      <c r="A29" s="1"/>
      <c r="B29" s="1"/>
      <c r="C29" s="1"/>
      <c r="D29" s="1"/>
      <c r="E29" s="1"/>
      <c r="F29" s="1"/>
      <c r="G29" s="1"/>
      <c r="H29" s="1"/>
    </row>
    <row r="30" spans="1:8" ht="22" customHeight="1">
      <c r="A30" s="1"/>
      <c r="B30" s="1"/>
      <c r="C30" s="1"/>
      <c r="D30" s="1"/>
      <c r="E30" s="1"/>
      <c r="F30" s="1"/>
      <c r="G30" s="1"/>
      <c r="H30" s="1"/>
    </row>
    <row r="31" spans="1:8" ht="22" customHeight="1">
      <c r="A31" s="1"/>
      <c r="B31" s="1"/>
      <c r="C31" s="1"/>
      <c r="D31" s="1"/>
      <c r="E31" s="1"/>
      <c r="F31" s="1"/>
      <c r="G31" s="1"/>
      <c r="H31" s="1"/>
    </row>
    <row r="32" spans="1:8" ht="22" customHeight="1">
      <c r="A32" s="1"/>
      <c r="B32" s="1"/>
      <c r="C32" s="1"/>
      <c r="D32" s="1"/>
      <c r="E32" s="1"/>
      <c r="F32" s="1"/>
      <c r="G32" s="1"/>
      <c r="H32" s="1"/>
    </row>
    <row r="33" spans="1:8" ht="22" customHeight="1">
      <c r="A33" s="1"/>
      <c r="B33" s="1"/>
      <c r="C33" s="1"/>
      <c r="D33" s="1"/>
      <c r="E33" s="1"/>
      <c r="F33" s="1"/>
      <c r="G33" s="1"/>
      <c r="H33" s="1"/>
    </row>
    <row r="34" spans="1:8" ht="22" customHeight="1">
      <c r="A34" s="1"/>
      <c r="B34" s="1"/>
      <c r="C34" s="1"/>
      <c r="D34" s="1"/>
      <c r="E34" s="1"/>
      <c r="F34" s="1"/>
      <c r="G34" s="1"/>
      <c r="H34" s="1"/>
    </row>
    <row r="35" spans="1:8" ht="22" customHeight="1">
      <c r="A35" s="1"/>
      <c r="B35" s="1"/>
      <c r="C35" s="1"/>
      <c r="D35" s="1"/>
      <c r="E35" s="1"/>
      <c r="F35" s="1"/>
      <c r="G35" s="1"/>
      <c r="H35" s="1"/>
    </row>
    <row r="36" spans="1:8" ht="22" customHeight="1">
      <c r="A36" s="1"/>
      <c r="B36" s="1"/>
      <c r="C36" s="1"/>
      <c r="D36" s="1"/>
      <c r="E36" s="1"/>
      <c r="F36" s="1"/>
      <c r="G36" s="1"/>
      <c r="H36" s="1"/>
    </row>
    <row r="37" spans="1:8" ht="22" customHeight="1">
      <c r="A37" s="1"/>
      <c r="B37" s="1"/>
      <c r="C37" s="1"/>
      <c r="D37" s="1"/>
      <c r="E37" s="1"/>
      <c r="F37" s="1"/>
      <c r="G37" s="1"/>
      <c r="H37" s="1"/>
    </row>
    <row r="38" spans="1:8" ht="22" customHeight="1">
      <c r="A38" s="1"/>
      <c r="B38" s="1"/>
      <c r="C38" s="1"/>
      <c r="D38" s="1"/>
      <c r="E38" s="1"/>
      <c r="F38" s="1"/>
      <c r="G38" s="1"/>
      <c r="H38" s="1"/>
    </row>
    <row r="39" spans="1:8" ht="22" customHeight="1">
      <c r="A39" s="1"/>
      <c r="B39" s="1"/>
      <c r="C39" s="1"/>
      <c r="D39" s="1"/>
      <c r="E39" s="1"/>
      <c r="F39" s="1"/>
      <c r="G39" s="1"/>
      <c r="H39" s="1"/>
    </row>
    <row r="40" spans="1:8" ht="22" customHeight="1">
      <c r="A40" s="1"/>
      <c r="B40" s="1"/>
      <c r="C40" s="1"/>
      <c r="D40" s="1"/>
      <c r="E40" s="1"/>
      <c r="F40" s="1"/>
      <c r="G40" s="1"/>
      <c r="H40" s="1"/>
    </row>
    <row r="41" spans="1:8" ht="22" customHeight="1">
      <c r="A41" s="1"/>
      <c r="B41" s="1"/>
      <c r="C41" s="1"/>
      <c r="D41" s="1"/>
      <c r="E41" s="1"/>
      <c r="F41" s="1"/>
      <c r="G41" s="1"/>
      <c r="H41" s="1"/>
    </row>
    <row r="42" spans="1:8" ht="22" customHeight="1">
      <c r="A42" s="1"/>
      <c r="B42" s="1"/>
      <c r="C42" s="1"/>
      <c r="D42" s="1"/>
      <c r="E42" s="1"/>
      <c r="F42" s="1"/>
      <c r="G42" s="1"/>
      <c r="H42" s="1"/>
    </row>
    <row r="43" spans="1:8" ht="22" customHeight="1">
      <c r="A43" s="1"/>
      <c r="B43" s="1"/>
      <c r="C43" s="1"/>
      <c r="D43" s="1"/>
      <c r="E43" s="1"/>
      <c r="F43" s="1"/>
      <c r="G43" s="1"/>
      <c r="H43" s="1"/>
    </row>
    <row r="44" spans="1:8" ht="22" customHeight="1">
      <c r="A44" s="1"/>
      <c r="B44" s="1"/>
      <c r="C44" s="1"/>
      <c r="D44" s="1"/>
      <c r="E44" s="1"/>
      <c r="F44" s="1"/>
      <c r="G44" s="1"/>
      <c r="H44" s="1"/>
    </row>
    <row r="45" spans="1:8" ht="22" customHeight="1">
      <c r="A45" s="1"/>
      <c r="B45" s="1"/>
      <c r="C45" s="1"/>
      <c r="D45" s="1"/>
      <c r="E45" s="1"/>
      <c r="F45" s="1"/>
      <c r="G45" s="1"/>
      <c r="H45" s="1"/>
    </row>
    <row r="46" spans="1:8" ht="22" customHeight="1">
      <c r="A46" s="1"/>
      <c r="B46" s="1"/>
      <c r="C46" s="1"/>
      <c r="D46" s="1"/>
      <c r="E46" s="1"/>
      <c r="F46" s="1"/>
      <c r="G46" s="1"/>
      <c r="H46" s="1"/>
    </row>
    <row r="47" spans="1:8" ht="22" customHeight="1">
      <c r="A47" s="1"/>
      <c r="B47" s="1"/>
      <c r="C47" s="1"/>
      <c r="D47" s="1"/>
      <c r="E47" s="1"/>
      <c r="F47" s="1"/>
      <c r="G47" s="1"/>
      <c r="H47" s="1"/>
    </row>
    <row r="48" spans="1:8" ht="22" customHeight="1">
      <c r="A48" s="1"/>
      <c r="B48" s="1"/>
      <c r="C48" s="1"/>
      <c r="D48" s="1"/>
      <c r="E48" s="1"/>
      <c r="F48" s="1"/>
      <c r="G48" s="1"/>
      <c r="H48" s="1"/>
    </row>
    <row r="49" spans="1:8" ht="22" customHeight="1">
      <c r="A49" s="1"/>
      <c r="B49" s="1"/>
      <c r="C49" s="1"/>
      <c r="D49" s="1"/>
      <c r="E49" s="1"/>
      <c r="F49" s="1"/>
      <c r="G49" s="1"/>
      <c r="H49" s="1"/>
    </row>
    <row r="50" spans="1:8" ht="22" customHeight="1">
      <c r="A50" s="1"/>
      <c r="B50" s="1"/>
      <c r="C50" s="1"/>
      <c r="D50" s="1"/>
      <c r="E50" s="1"/>
      <c r="F50" s="1"/>
      <c r="G50" s="1"/>
      <c r="H50" s="1"/>
    </row>
    <row r="51" spans="1:8" ht="22" customHeight="1">
      <c r="A51" s="1"/>
      <c r="B51" s="1"/>
      <c r="C51" s="1"/>
      <c r="D51" s="1"/>
      <c r="E51" s="1"/>
      <c r="F51" s="1"/>
      <c r="G51" s="1"/>
      <c r="H51" s="1"/>
    </row>
    <row r="52" spans="1:8" ht="22" customHeight="1">
      <c r="A52" s="1"/>
      <c r="B52" s="1"/>
      <c r="C52" s="1"/>
      <c r="D52" s="1"/>
      <c r="E52" s="1"/>
      <c r="F52" s="1"/>
      <c r="G52" s="1"/>
      <c r="H52" s="1"/>
    </row>
    <row r="53" spans="1:8" ht="22" customHeight="1">
      <c r="A53" s="1"/>
      <c r="B53" s="1"/>
      <c r="C53" s="1"/>
      <c r="D53" s="1"/>
      <c r="E53" s="1"/>
      <c r="F53" s="1"/>
      <c r="G53" s="1"/>
      <c r="H53" s="1"/>
    </row>
    <row r="54" spans="1:8" ht="22" customHeight="1">
      <c r="A54" s="1"/>
      <c r="B54" s="1"/>
      <c r="C54" s="1"/>
      <c r="D54" s="1"/>
      <c r="E54" s="1"/>
      <c r="F54" s="1"/>
      <c r="G54" s="1"/>
      <c r="H54" s="1"/>
    </row>
    <row r="55" spans="1:8" ht="22" customHeight="1">
      <c r="A55" s="1"/>
      <c r="B55" s="1"/>
      <c r="C55" s="1"/>
      <c r="D55" s="1"/>
      <c r="E55" s="1"/>
      <c r="F55" s="1"/>
      <c r="G55" s="1"/>
      <c r="H55" s="1"/>
    </row>
    <row r="56" spans="1:8" ht="22" customHeight="1">
      <c r="A56" s="1"/>
      <c r="B56" s="1"/>
      <c r="C56" s="1"/>
      <c r="D56" s="1"/>
      <c r="E56" s="1"/>
      <c r="F56" s="1"/>
      <c r="G56" s="1"/>
      <c r="H56" s="1"/>
    </row>
    <row r="57" spans="1:8" ht="22" customHeight="1">
      <c r="A57" s="1"/>
      <c r="B57" s="1"/>
      <c r="C57" s="1"/>
      <c r="D57" s="1"/>
      <c r="E57" s="1"/>
      <c r="F57" s="1"/>
      <c r="G57" s="1"/>
      <c r="H57" s="1"/>
    </row>
    <row r="58" spans="1:8" ht="22" customHeight="1">
      <c r="A58" s="1"/>
      <c r="B58" s="1"/>
      <c r="C58" s="1"/>
      <c r="D58" s="1"/>
      <c r="E58" s="1"/>
      <c r="F58" s="1"/>
      <c r="G58" s="1"/>
      <c r="H58" s="1"/>
    </row>
    <row r="59" spans="1:8" ht="22" customHeight="1">
      <c r="A59" s="1"/>
      <c r="B59" s="1"/>
      <c r="C59" s="1"/>
      <c r="D59" s="1"/>
      <c r="E59" s="1"/>
      <c r="F59" s="1"/>
      <c r="G59" s="1"/>
      <c r="H59" s="1"/>
    </row>
    <row r="60" spans="1:8" ht="22" customHeight="1">
      <c r="A60" s="1"/>
      <c r="B60" s="1"/>
      <c r="C60" s="1"/>
      <c r="D60" s="1"/>
      <c r="E60" s="1"/>
      <c r="F60" s="1"/>
      <c r="G60" s="1"/>
      <c r="H60" s="1"/>
    </row>
    <row r="61" spans="1:8" ht="22" customHeight="1">
      <c r="A61" s="1"/>
      <c r="B61" s="1"/>
      <c r="C61" s="1"/>
      <c r="D61" s="1"/>
      <c r="E61" s="1"/>
      <c r="F61" s="1"/>
      <c r="G61" s="1"/>
      <c r="H61" s="1"/>
    </row>
    <row r="62" spans="1:8" ht="22" customHeight="1">
      <c r="A62" s="1"/>
      <c r="B62" s="1"/>
      <c r="C62" s="1"/>
      <c r="D62" s="1"/>
      <c r="E62" s="1"/>
      <c r="F62" s="1"/>
      <c r="G62" s="1"/>
      <c r="H62" s="1"/>
    </row>
    <row r="63" spans="1:8" ht="22" customHeight="1">
      <c r="A63" s="1"/>
      <c r="B63" s="1"/>
      <c r="C63" s="1"/>
      <c r="D63" s="1"/>
      <c r="E63" s="1"/>
      <c r="F63" s="1"/>
      <c r="G63" s="1"/>
      <c r="H63" s="1"/>
    </row>
    <row r="64" spans="1:8" ht="22" customHeight="1">
      <c r="A64" s="1"/>
      <c r="B64" s="1"/>
      <c r="C64" s="1"/>
      <c r="D64" s="1"/>
      <c r="E64" s="1"/>
      <c r="F64" s="1"/>
      <c r="G64" s="1"/>
      <c r="H64" s="1"/>
    </row>
    <row r="65" spans="1:8" ht="22" customHeight="1">
      <c r="A65" s="1"/>
      <c r="B65" s="1"/>
      <c r="C65" s="1"/>
      <c r="D65" s="1"/>
      <c r="E65" s="1"/>
      <c r="F65" s="1"/>
      <c r="G65" s="1"/>
      <c r="H65" s="1"/>
    </row>
    <row r="66" spans="1:8" ht="22" customHeight="1">
      <c r="A66" s="1"/>
      <c r="B66" s="1"/>
      <c r="C66" s="1"/>
      <c r="D66" s="1"/>
      <c r="E66" s="1"/>
      <c r="F66" s="1"/>
      <c r="G66" s="1"/>
      <c r="H66" s="1"/>
    </row>
    <row r="67" spans="1:8" ht="22" customHeight="1">
      <c r="A67" s="1"/>
      <c r="B67" s="1"/>
      <c r="C67" s="1"/>
      <c r="D67" s="1"/>
      <c r="E67" s="1"/>
      <c r="F67" s="1"/>
      <c r="G67" s="1"/>
      <c r="H67" s="1"/>
    </row>
    <row r="68" spans="1:8" ht="22" customHeight="1">
      <c r="A68" s="1"/>
      <c r="B68" s="1"/>
      <c r="C68" s="1"/>
      <c r="D68" s="1"/>
      <c r="E68" s="1"/>
      <c r="F68" s="1"/>
      <c r="G68" s="1"/>
      <c r="H68" s="1"/>
    </row>
    <row r="69" spans="1:8" ht="22" customHeight="1">
      <c r="A69" s="1"/>
      <c r="B69" s="1"/>
      <c r="C69" s="1"/>
      <c r="D69" s="1"/>
      <c r="E69" s="1"/>
      <c r="F69" s="1"/>
      <c r="G69" s="1"/>
      <c r="H69" s="1"/>
    </row>
    <row r="70" spans="1:8" ht="22" customHeight="1">
      <c r="A70" s="1"/>
      <c r="B70" s="1"/>
      <c r="C70" s="1"/>
      <c r="D70" s="1"/>
      <c r="E70" s="1"/>
      <c r="F70" s="1"/>
      <c r="G70" s="1"/>
      <c r="H70" s="1"/>
    </row>
    <row r="71" spans="1:8" ht="22" customHeight="1">
      <c r="A71" s="1"/>
      <c r="B71" s="1"/>
      <c r="C71" s="1"/>
      <c r="D71" s="1"/>
      <c r="E71" s="1"/>
      <c r="F71" s="1"/>
      <c r="G71" s="1"/>
      <c r="H71" s="1"/>
    </row>
    <row r="72" spans="1:8" ht="22" customHeight="1">
      <c r="A72" s="1"/>
      <c r="B72" s="1"/>
      <c r="C72" s="1"/>
      <c r="D72" s="1"/>
      <c r="E72" s="1"/>
      <c r="F72" s="1"/>
      <c r="G72" s="1"/>
      <c r="H72" s="1"/>
    </row>
    <row r="73" spans="1:8" ht="22" customHeight="1">
      <c r="A73" s="1"/>
      <c r="B73" s="1"/>
      <c r="C73" s="1"/>
      <c r="D73" s="1"/>
      <c r="E73" s="1"/>
      <c r="F73" s="1"/>
      <c r="G73" s="1"/>
      <c r="H73" s="1"/>
    </row>
    <row r="74" spans="1:8" ht="22" customHeight="1">
      <c r="A74" s="1"/>
      <c r="B74" s="1"/>
      <c r="C74" s="1"/>
      <c r="D74" s="1"/>
      <c r="E74" s="1"/>
      <c r="F74" s="1"/>
      <c r="G74" s="1"/>
      <c r="H74" s="1"/>
    </row>
    <row r="75" spans="1:8" ht="22" customHeight="1">
      <c r="A75" s="1"/>
      <c r="B75" s="1"/>
      <c r="C75" s="1"/>
      <c r="D75" s="1"/>
      <c r="E75" s="1"/>
      <c r="F75" s="1"/>
      <c r="G75" s="1"/>
      <c r="H75" s="1"/>
    </row>
    <row r="76" spans="1:8" ht="22" customHeight="1">
      <c r="A76" s="1"/>
      <c r="B76" s="1"/>
      <c r="C76" s="1"/>
      <c r="D76" s="1"/>
      <c r="E76" s="1"/>
      <c r="F76" s="1"/>
      <c r="G76" s="1"/>
      <c r="H76" s="1"/>
    </row>
    <row r="77" spans="1:8" ht="22" customHeight="1">
      <c r="A77" s="1"/>
      <c r="B77" s="1"/>
      <c r="C77" s="1"/>
      <c r="D77" s="1"/>
      <c r="E77" s="1"/>
      <c r="F77" s="1"/>
      <c r="G77" s="1"/>
      <c r="H77" s="1"/>
    </row>
    <row r="78" spans="1:8" ht="22" customHeight="1">
      <c r="A78" s="1"/>
      <c r="B78" s="1"/>
      <c r="C78" s="1"/>
      <c r="D78" s="1"/>
      <c r="E78" s="1"/>
      <c r="F78" s="1"/>
      <c r="G78" s="1"/>
      <c r="H78" s="1"/>
    </row>
    <row r="79" spans="1:8" ht="22" customHeight="1">
      <c r="A79" s="1"/>
      <c r="B79" s="1"/>
      <c r="C79" s="1"/>
      <c r="D79" s="1"/>
      <c r="E79" s="1"/>
      <c r="F79" s="1"/>
      <c r="G79" s="1"/>
      <c r="H79" s="1"/>
    </row>
    <row r="80" spans="1:8" ht="22" customHeight="1">
      <c r="A80" s="1"/>
      <c r="B80" s="1"/>
      <c r="C80" s="1"/>
      <c r="D80" s="1"/>
      <c r="E80" s="1"/>
      <c r="F80" s="1"/>
      <c r="G80" s="1"/>
      <c r="H80" s="1"/>
    </row>
    <row r="81" spans="1:8" ht="22" customHeight="1">
      <c r="A81" s="1"/>
      <c r="B81" s="1"/>
      <c r="C81" s="1"/>
      <c r="D81" s="1"/>
      <c r="E81" s="1"/>
      <c r="F81" s="1"/>
      <c r="G81" s="1"/>
      <c r="H81" s="1"/>
    </row>
    <row r="82" spans="1:8" ht="22" customHeight="1">
      <c r="A82" s="1"/>
      <c r="B82" s="1"/>
      <c r="C82" s="1"/>
      <c r="D82" s="1"/>
      <c r="E82" s="1"/>
      <c r="F82" s="1"/>
      <c r="G82" s="1"/>
      <c r="H82" s="1"/>
    </row>
    <row r="83" spans="1:8" ht="22" customHeight="1">
      <c r="A83" s="1"/>
      <c r="B83" s="1"/>
      <c r="C83" s="1"/>
      <c r="D83" s="1"/>
      <c r="E83" s="1"/>
      <c r="F83" s="1"/>
      <c r="G83" s="1"/>
      <c r="H83" s="1"/>
    </row>
    <row r="84" spans="1:8" ht="22" customHeight="1">
      <c r="A84" s="1"/>
      <c r="B84" s="1"/>
      <c r="C84" s="1"/>
      <c r="D84" s="1"/>
      <c r="E84" s="1"/>
      <c r="F84" s="1"/>
      <c r="G84" s="1"/>
      <c r="H84" s="1"/>
    </row>
    <row r="85" spans="1:8" ht="22" customHeight="1">
      <c r="A85" s="1"/>
      <c r="B85" s="1"/>
      <c r="C85" s="1"/>
      <c r="D85" s="1"/>
      <c r="E85" s="1"/>
      <c r="F85" s="1"/>
      <c r="G85" s="1"/>
      <c r="H85" s="1"/>
    </row>
    <row r="86" spans="1:8" ht="22" customHeight="1">
      <c r="A86" s="1"/>
      <c r="B86" s="1"/>
      <c r="C86" s="1"/>
      <c r="D86" s="1"/>
      <c r="E86" s="1"/>
      <c r="F86" s="1"/>
      <c r="G86" s="1"/>
      <c r="H86" s="1"/>
    </row>
    <row r="87" spans="1:8" ht="22" customHeight="1">
      <c r="A87" s="1"/>
      <c r="B87" s="1"/>
      <c r="C87" s="1"/>
      <c r="D87" s="1"/>
      <c r="E87" s="1"/>
      <c r="F87" s="1"/>
      <c r="G87" s="1"/>
      <c r="H87" s="1"/>
    </row>
    <row r="88" spans="1:8" ht="22" customHeight="1">
      <c r="A88" s="1"/>
      <c r="B88" s="1"/>
      <c r="C88" s="1"/>
      <c r="D88" s="1"/>
      <c r="E88" s="1"/>
      <c r="F88" s="1"/>
      <c r="G88" s="1"/>
      <c r="H88" s="1"/>
    </row>
    <row r="89" spans="1:8" ht="22" customHeight="1">
      <c r="A89" s="1"/>
      <c r="B89" s="1"/>
      <c r="C89" s="1"/>
      <c r="D89" s="1"/>
      <c r="E89" s="1"/>
      <c r="F89" s="1"/>
      <c r="G89" s="1"/>
      <c r="H89" s="1"/>
    </row>
    <row r="90" spans="1:8" ht="22" customHeight="1">
      <c r="A90" s="1"/>
      <c r="B90" s="1"/>
      <c r="C90" s="1"/>
      <c r="D90" s="1"/>
      <c r="E90" s="1"/>
      <c r="F90" s="1"/>
      <c r="G90" s="1"/>
      <c r="H90" s="1"/>
    </row>
  </sheetData>
  <sheetProtection sheet="1" objects="1" scenarios="1"/>
  <mergeCells count="2">
    <mergeCell ref="A1:H2"/>
    <mergeCell ref="A15:H16"/>
  </mergeCells>
  <pageMargins left="0.39370078740157477" right="0.39370078740157477" top="0.39370078740157477" bottom="0.39370078740157477" header="0.3" footer="0.3"/>
  <pageSetup paperSize="9" scale="91" orientation="landscape" r:id="rId1"/>
  <headerFooter>
    <oddFooter>&amp;CCalcy | Page &amp;P&amp;Rcalcy.com.au</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AF4EE"/>
    <pageSetUpPr fitToPage="1"/>
  </sheetPr>
  <dimension ref="A1:H2086"/>
  <sheetViews>
    <sheetView showGridLines="0" zoomScaleNormal="100" workbookViewId="0">
      <pane ySplit="6" topLeftCell="A7" activePane="bottomLeft" state="frozen"/>
      <selection pane="bottomLeft" sqref="A1:H2"/>
    </sheetView>
  </sheetViews>
  <sheetFormatPr defaultRowHeight="14.15"/>
  <cols>
    <col min="1" max="1" width="9" customWidth="1"/>
    <col min="2" max="2" width="16" customWidth="1"/>
    <col min="3" max="8" width="18" customWidth="1"/>
  </cols>
  <sheetData>
    <row r="1" spans="1:8" ht="22" customHeight="1">
      <c r="A1" s="12" t="s">
        <v>51</v>
      </c>
      <c r="B1" s="12" t="s">
        <v>51</v>
      </c>
      <c r="C1" s="12" t="s">
        <v>51</v>
      </c>
      <c r="D1" s="12" t="s">
        <v>51</v>
      </c>
      <c r="E1" s="12" t="s">
        <v>51</v>
      </c>
      <c r="F1" s="12" t="s">
        <v>51</v>
      </c>
      <c r="G1" s="12" t="s">
        <v>51</v>
      </c>
      <c r="H1" s="12" t="s">
        <v>51</v>
      </c>
    </row>
    <row r="2" spans="1:8" ht="22" customHeight="1">
      <c r="A2" s="12" t="s">
        <v>51</v>
      </c>
      <c r="B2" s="12" t="s">
        <v>51</v>
      </c>
      <c r="C2" s="12" t="s">
        <v>51</v>
      </c>
      <c r="D2" s="12" t="s">
        <v>51</v>
      </c>
      <c r="E2" s="12" t="s">
        <v>51</v>
      </c>
      <c r="F2" s="12" t="s">
        <v>51</v>
      </c>
      <c r="G2" s="12" t="s">
        <v>51</v>
      </c>
      <c r="H2" s="12" t="s">
        <v>51</v>
      </c>
    </row>
    <row r="3" spans="1:8" ht="22" customHeight="1">
      <c r="A3" s="1"/>
      <c r="B3" s="1"/>
      <c r="C3" s="1"/>
      <c r="D3" s="1"/>
      <c r="E3" s="1"/>
      <c r="F3" s="1"/>
      <c r="G3" s="1"/>
      <c r="H3" s="1"/>
    </row>
    <row r="4" spans="1:8" ht="22" customHeight="1">
      <c r="A4" s="1"/>
      <c r="B4" s="1"/>
      <c r="C4" s="1"/>
      <c r="D4" s="1"/>
      <c r="E4" s="1"/>
      <c r="F4" s="1"/>
      <c r="G4" s="1"/>
      <c r="H4" s="1"/>
    </row>
    <row r="5" spans="1:8" ht="22" customHeight="1">
      <c r="A5" s="1"/>
      <c r="B5" s="1"/>
      <c r="C5" s="1"/>
      <c r="D5" s="1"/>
      <c r="E5" s="1"/>
      <c r="F5" s="1"/>
      <c r="G5" s="1"/>
      <c r="H5" s="1"/>
    </row>
    <row r="6" spans="1:8" ht="32.049999999999997" customHeight="1">
      <c r="A6" s="3" t="s">
        <v>52</v>
      </c>
      <c r="B6" s="3" t="s">
        <v>53</v>
      </c>
      <c r="C6" s="3" t="s">
        <v>54</v>
      </c>
      <c r="D6" s="3" t="s">
        <v>55</v>
      </c>
      <c r="E6" s="3" t="s">
        <v>42</v>
      </c>
      <c r="F6" s="3" t="s">
        <v>56</v>
      </c>
      <c r="G6" s="3" t="s">
        <v>57</v>
      </c>
      <c r="H6" s="3" t="s">
        <v>43</v>
      </c>
    </row>
    <row r="7" spans="1:8" ht="22" customHeight="1">
      <c r="A7" s="1">
        <f>IF(AND('Loan Inputs'!$B$12,1&lt;=IF('Loan Inputs'!$B$12,'Loan Inputs'!$B$7,0)*'Loan Inputs'!$B$14+5*'Loan Inputs'!$B$14,ISNUMBER('Loan Inputs'!$B$5),'Loan Inputs'!$B$5&gt;0),1,"")</f>
        <v>1</v>
      </c>
      <c r="B7" s="4">
        <f>IF(A7="","",IF('Loan Inputs'!$B$14=12,DATE(YEAR('Loan Inputs'!$B$8),MONTH('Loan Inputs'!$B$8)+A7,DAY('Loan Inputs'!$B$8)),'Loan Inputs'!$B$8+A7*IF('Loan Inputs'!$B$14=26,14,7)))</f>
        <v>46357</v>
      </c>
      <c r="C7" s="2">
        <f>IF(A7="","",'Loan Inputs'!$B$5)</f>
        <v>650000</v>
      </c>
      <c r="D7" s="2">
        <f>IF(A7="","",MIN('Loan Inputs'!$B$17,C7+E7)+H7)</f>
        <v>4311.533367807353</v>
      </c>
      <c r="E7" s="2">
        <f>IF(A7="","",C7*'Loan Inputs'!$B$15)</f>
        <v>3461.25</v>
      </c>
      <c r="F7" s="2">
        <f t="shared" ref="F7:F70" si="0">IF(A7="","",MIN(C7,D7-E7))</f>
        <v>850.28336780735299</v>
      </c>
      <c r="G7" s="2">
        <f t="shared" ref="G7:G70" si="1">IF(A7="","",IF(C7-F7&lt;0.0000001,0,MAX(0,C7-F7)))</f>
        <v>649149.71663219261</v>
      </c>
      <c r="H7" s="2">
        <f>IF(A7="","",MIN('Loan Inputs'!$B$18,MAX(0,C7+E7-'Loan Inputs'!$B$17)))</f>
        <v>250</v>
      </c>
    </row>
    <row r="8" spans="1:8" ht="22" customHeight="1">
      <c r="A8" s="1">
        <f>IF(AND('Loan Inputs'!$B$12,2&lt;=IF('Loan Inputs'!$B$12,'Loan Inputs'!$B$7,0)*'Loan Inputs'!$B$14+5*'Loan Inputs'!$B$14,ISNUMBER(G7),G7&gt;0),2,"")</f>
        <v>2</v>
      </c>
      <c r="B8" s="4">
        <f>IF(A8="","",IF('Loan Inputs'!$B$14=12,DATE(YEAR('Loan Inputs'!$B$8),MONTH('Loan Inputs'!$B$8)+A8,DAY('Loan Inputs'!$B$8)),'Loan Inputs'!$B$8+A8*IF('Loan Inputs'!$B$14=26,14,7)))</f>
        <v>46388</v>
      </c>
      <c r="C8" s="2">
        <f t="shared" ref="C8:C71" si="2">IF(A8="","",G7)</f>
        <v>649149.71663219261</v>
      </c>
      <c r="D8" s="2">
        <f>IF(A8="","",MIN('Loan Inputs'!$B$17,C8+E8)+H8)</f>
        <v>4311.533367807353</v>
      </c>
      <c r="E8" s="2">
        <f>IF(A8="","",C8*'Loan Inputs'!$B$15)</f>
        <v>3456.7222410664253</v>
      </c>
      <c r="F8" s="2">
        <f t="shared" si="0"/>
        <v>854.81112674092765</v>
      </c>
      <c r="G8" s="2">
        <f t="shared" si="1"/>
        <v>648294.90550545172</v>
      </c>
      <c r="H8" s="2">
        <f>IF(A8="","",MIN('Loan Inputs'!$B$18,MAX(0,C8+E8-'Loan Inputs'!$B$17)))</f>
        <v>250</v>
      </c>
    </row>
    <row r="9" spans="1:8" ht="22" customHeight="1">
      <c r="A9" s="1">
        <f>IF(AND('Loan Inputs'!$B$12,3&lt;=IF('Loan Inputs'!$B$12,'Loan Inputs'!$B$7,0)*'Loan Inputs'!$B$14+5*'Loan Inputs'!$B$14,ISNUMBER(G8),G8&gt;0),3,"")</f>
        <v>3</v>
      </c>
      <c r="B9" s="4">
        <f>IF(A9="","",IF('Loan Inputs'!$B$14=12,DATE(YEAR('Loan Inputs'!$B$8),MONTH('Loan Inputs'!$B$8)+A9,DAY('Loan Inputs'!$B$8)),'Loan Inputs'!$B$8+A9*IF('Loan Inputs'!$B$14=26,14,7)))</f>
        <v>46419</v>
      </c>
      <c r="C9" s="2">
        <f t="shared" si="2"/>
        <v>648294.90550545172</v>
      </c>
      <c r="D9" s="2">
        <f>IF(A9="","",MIN('Loan Inputs'!$B$17,C9+E9)+H9)</f>
        <v>4311.533367807353</v>
      </c>
      <c r="E9" s="2">
        <f>IF(A9="","",C9*'Loan Inputs'!$B$15)</f>
        <v>3452.1703718165304</v>
      </c>
      <c r="F9" s="2">
        <f t="shared" si="0"/>
        <v>859.36299599082258</v>
      </c>
      <c r="G9" s="2">
        <f t="shared" si="1"/>
        <v>647435.54250946094</v>
      </c>
      <c r="H9" s="2">
        <f>IF(A9="","",MIN('Loan Inputs'!$B$18,MAX(0,C9+E9-'Loan Inputs'!$B$17)))</f>
        <v>250</v>
      </c>
    </row>
    <row r="10" spans="1:8" ht="22" customHeight="1">
      <c r="A10" s="1">
        <f>IF(AND('Loan Inputs'!$B$12,4&lt;=IF('Loan Inputs'!$B$12,'Loan Inputs'!$B$7,0)*'Loan Inputs'!$B$14+5*'Loan Inputs'!$B$14,ISNUMBER(G9),G9&gt;0),4,"")</f>
        <v>4</v>
      </c>
      <c r="B10" s="4">
        <f>IF(A10="","",IF('Loan Inputs'!$B$14=12,DATE(YEAR('Loan Inputs'!$B$8),MONTH('Loan Inputs'!$B$8)+A10,DAY('Loan Inputs'!$B$8)),'Loan Inputs'!$B$8+A10*IF('Loan Inputs'!$B$14=26,14,7)))</f>
        <v>46447</v>
      </c>
      <c r="C10" s="2">
        <f t="shared" si="2"/>
        <v>647435.54250946094</v>
      </c>
      <c r="D10" s="2">
        <f>IF(A10="","",MIN('Loan Inputs'!$B$17,C10+E10)+H10)</f>
        <v>4311.533367807353</v>
      </c>
      <c r="E10" s="2">
        <f>IF(A10="","",C10*'Loan Inputs'!$B$15)</f>
        <v>3447.5942638628794</v>
      </c>
      <c r="F10" s="2">
        <f t="shared" si="0"/>
        <v>863.93910394447357</v>
      </c>
      <c r="G10" s="2">
        <f t="shared" si="1"/>
        <v>646571.60340551648</v>
      </c>
      <c r="H10" s="2">
        <f>IF(A10="","",MIN('Loan Inputs'!$B$18,MAX(0,C10+E10-'Loan Inputs'!$B$17)))</f>
        <v>250</v>
      </c>
    </row>
    <row r="11" spans="1:8" ht="22" customHeight="1">
      <c r="A11" s="1">
        <f>IF(AND('Loan Inputs'!$B$12,5&lt;=IF('Loan Inputs'!$B$12,'Loan Inputs'!$B$7,0)*'Loan Inputs'!$B$14+5*'Loan Inputs'!$B$14,ISNUMBER(G10),G10&gt;0),5,"")</f>
        <v>5</v>
      </c>
      <c r="B11" s="4">
        <f>IF(A11="","",IF('Loan Inputs'!$B$14=12,DATE(YEAR('Loan Inputs'!$B$8),MONTH('Loan Inputs'!$B$8)+A11,DAY('Loan Inputs'!$B$8)),'Loan Inputs'!$B$8+A11*IF('Loan Inputs'!$B$14=26,14,7)))</f>
        <v>46478</v>
      </c>
      <c r="C11" s="2">
        <f t="shared" si="2"/>
        <v>646571.60340551648</v>
      </c>
      <c r="D11" s="2">
        <f>IF(A11="","",MIN('Loan Inputs'!$B$17,C11+E11)+H11)</f>
        <v>4311.533367807353</v>
      </c>
      <c r="E11" s="2">
        <f>IF(A11="","",C11*'Loan Inputs'!$B$15)</f>
        <v>3442.9937881343753</v>
      </c>
      <c r="F11" s="2">
        <f t="shared" si="0"/>
        <v>868.53957967297765</v>
      </c>
      <c r="G11" s="2">
        <f t="shared" si="1"/>
        <v>645703.06382584351</v>
      </c>
      <c r="H11" s="2">
        <f>IF(A11="","",MIN('Loan Inputs'!$B$18,MAX(0,C11+E11-'Loan Inputs'!$B$17)))</f>
        <v>250</v>
      </c>
    </row>
    <row r="12" spans="1:8" ht="22" customHeight="1">
      <c r="A12" s="1">
        <f>IF(AND('Loan Inputs'!$B$12,6&lt;=IF('Loan Inputs'!$B$12,'Loan Inputs'!$B$7,0)*'Loan Inputs'!$B$14+5*'Loan Inputs'!$B$14,ISNUMBER(G11),G11&gt;0),6,"")</f>
        <v>6</v>
      </c>
      <c r="B12" s="4">
        <f>IF(A12="","",IF('Loan Inputs'!$B$14=12,DATE(YEAR('Loan Inputs'!$B$8),MONTH('Loan Inputs'!$B$8)+A12,DAY('Loan Inputs'!$B$8)),'Loan Inputs'!$B$8+A12*IF('Loan Inputs'!$B$14=26,14,7)))</f>
        <v>46508</v>
      </c>
      <c r="C12" s="2">
        <f t="shared" si="2"/>
        <v>645703.06382584351</v>
      </c>
      <c r="D12" s="2">
        <f>IF(A12="","",MIN('Loan Inputs'!$B$17,C12+E12)+H12)</f>
        <v>4311.533367807353</v>
      </c>
      <c r="E12" s="2">
        <f>IF(A12="","",C12*'Loan Inputs'!$B$15)</f>
        <v>3438.3688148726164</v>
      </c>
      <c r="F12" s="2">
        <f t="shared" si="0"/>
        <v>873.16455293473655</v>
      </c>
      <c r="G12" s="2">
        <f t="shared" si="1"/>
        <v>644829.89927290881</v>
      </c>
      <c r="H12" s="2">
        <f>IF(A12="","",MIN('Loan Inputs'!$B$18,MAX(0,C12+E12-'Loan Inputs'!$B$17)))</f>
        <v>250</v>
      </c>
    </row>
    <row r="13" spans="1:8" ht="22" customHeight="1">
      <c r="A13" s="1">
        <f>IF(AND('Loan Inputs'!$B$12,7&lt;=IF('Loan Inputs'!$B$12,'Loan Inputs'!$B$7,0)*'Loan Inputs'!$B$14+5*'Loan Inputs'!$B$14,ISNUMBER(G12),G12&gt;0),7,"")</f>
        <v>7</v>
      </c>
      <c r="B13" s="4">
        <f>IF(A13="","",IF('Loan Inputs'!$B$14=12,DATE(YEAR('Loan Inputs'!$B$8),MONTH('Loan Inputs'!$B$8)+A13,DAY('Loan Inputs'!$B$8)),'Loan Inputs'!$B$8+A13*IF('Loan Inputs'!$B$14=26,14,7)))</f>
        <v>46539</v>
      </c>
      <c r="C13" s="2">
        <f t="shared" si="2"/>
        <v>644829.89927290881</v>
      </c>
      <c r="D13" s="2">
        <f>IF(A13="","",MIN('Loan Inputs'!$B$17,C13+E13)+H13)</f>
        <v>4311.533367807353</v>
      </c>
      <c r="E13" s="2">
        <f>IF(A13="","",C13*'Loan Inputs'!$B$15)</f>
        <v>3433.7192136282392</v>
      </c>
      <c r="F13" s="2">
        <f t="shared" si="0"/>
        <v>877.81415417911376</v>
      </c>
      <c r="G13" s="2">
        <f t="shared" si="1"/>
        <v>643952.08511872974</v>
      </c>
      <c r="H13" s="2">
        <f>IF(A13="","",MIN('Loan Inputs'!$B$18,MAX(0,C13+E13-'Loan Inputs'!$B$17)))</f>
        <v>250</v>
      </c>
    </row>
    <row r="14" spans="1:8" ht="22" customHeight="1">
      <c r="A14" s="1">
        <f>IF(AND('Loan Inputs'!$B$12,8&lt;=IF('Loan Inputs'!$B$12,'Loan Inputs'!$B$7,0)*'Loan Inputs'!$B$14+5*'Loan Inputs'!$B$14,ISNUMBER(G13),G13&gt;0),8,"")</f>
        <v>8</v>
      </c>
      <c r="B14" s="4">
        <f>IF(A14="","",IF('Loan Inputs'!$B$14=12,DATE(YEAR('Loan Inputs'!$B$8),MONTH('Loan Inputs'!$B$8)+A14,DAY('Loan Inputs'!$B$8)),'Loan Inputs'!$B$8+A14*IF('Loan Inputs'!$B$14=26,14,7)))</f>
        <v>46569</v>
      </c>
      <c r="C14" s="2">
        <f t="shared" si="2"/>
        <v>643952.08511872974</v>
      </c>
      <c r="D14" s="2">
        <f>IF(A14="","",MIN('Loan Inputs'!$B$17,C14+E14)+H14)</f>
        <v>4311.533367807353</v>
      </c>
      <c r="E14" s="2">
        <f>IF(A14="","",C14*'Loan Inputs'!$B$15)</f>
        <v>3429.0448532572359</v>
      </c>
      <c r="F14" s="2">
        <f t="shared" si="0"/>
        <v>882.48851455011709</v>
      </c>
      <c r="G14" s="2">
        <f t="shared" si="1"/>
        <v>643069.59660417959</v>
      </c>
      <c r="H14" s="2">
        <f>IF(A14="","",MIN('Loan Inputs'!$B$18,MAX(0,C14+E14-'Loan Inputs'!$B$17)))</f>
        <v>250</v>
      </c>
    </row>
    <row r="15" spans="1:8" ht="22" customHeight="1">
      <c r="A15" s="1">
        <f>IF(AND('Loan Inputs'!$B$12,9&lt;=IF('Loan Inputs'!$B$12,'Loan Inputs'!$B$7,0)*'Loan Inputs'!$B$14+5*'Loan Inputs'!$B$14,ISNUMBER(G14),G14&gt;0),9,"")</f>
        <v>9</v>
      </c>
      <c r="B15" s="4">
        <f>IF(A15="","",IF('Loan Inputs'!$B$14=12,DATE(YEAR('Loan Inputs'!$B$8),MONTH('Loan Inputs'!$B$8)+A15,DAY('Loan Inputs'!$B$8)),'Loan Inputs'!$B$8+A15*IF('Loan Inputs'!$B$14=26,14,7)))</f>
        <v>46600</v>
      </c>
      <c r="C15" s="2">
        <f t="shared" si="2"/>
        <v>643069.59660417959</v>
      </c>
      <c r="D15" s="2">
        <f>IF(A15="","",MIN('Loan Inputs'!$B$17,C15+E15)+H15)</f>
        <v>4311.533367807353</v>
      </c>
      <c r="E15" s="2">
        <f>IF(A15="","",C15*'Loan Inputs'!$B$15)</f>
        <v>3424.3456019172563</v>
      </c>
      <c r="F15" s="2">
        <f t="shared" si="0"/>
        <v>887.18776589009667</v>
      </c>
      <c r="G15" s="2">
        <f t="shared" si="1"/>
        <v>642182.40883828944</v>
      </c>
      <c r="H15" s="2">
        <f>IF(A15="","",MIN('Loan Inputs'!$B$18,MAX(0,C15+E15-'Loan Inputs'!$B$17)))</f>
        <v>250</v>
      </c>
    </row>
    <row r="16" spans="1:8" ht="22" customHeight="1">
      <c r="A16" s="1">
        <f>IF(AND('Loan Inputs'!$B$12,10&lt;=IF('Loan Inputs'!$B$12,'Loan Inputs'!$B$7,0)*'Loan Inputs'!$B$14+5*'Loan Inputs'!$B$14,ISNUMBER(G15),G15&gt;0),10,"")</f>
        <v>10</v>
      </c>
      <c r="B16" s="4">
        <f>IF(A16="","",IF('Loan Inputs'!$B$14=12,DATE(YEAR('Loan Inputs'!$B$8),MONTH('Loan Inputs'!$B$8)+A16,DAY('Loan Inputs'!$B$8)),'Loan Inputs'!$B$8+A16*IF('Loan Inputs'!$B$14=26,14,7)))</f>
        <v>46631</v>
      </c>
      <c r="C16" s="2">
        <f t="shared" si="2"/>
        <v>642182.40883828944</v>
      </c>
      <c r="D16" s="2">
        <f>IF(A16="","",MIN('Loan Inputs'!$B$17,C16+E16)+H16)</f>
        <v>4311.533367807353</v>
      </c>
      <c r="E16" s="2">
        <f>IF(A16="","",C16*'Loan Inputs'!$B$15)</f>
        <v>3419.6213270638914</v>
      </c>
      <c r="F16" s="2">
        <f t="shared" si="0"/>
        <v>891.9120407434616</v>
      </c>
      <c r="G16" s="2">
        <f t="shared" si="1"/>
        <v>641290.49679754593</v>
      </c>
      <c r="H16" s="2">
        <f>IF(A16="","",MIN('Loan Inputs'!$B$18,MAX(0,C16+E16-'Loan Inputs'!$B$17)))</f>
        <v>250</v>
      </c>
    </row>
    <row r="17" spans="1:8" ht="22" customHeight="1">
      <c r="A17" s="1">
        <f>IF(AND('Loan Inputs'!$B$12,11&lt;=IF('Loan Inputs'!$B$12,'Loan Inputs'!$B$7,0)*'Loan Inputs'!$B$14+5*'Loan Inputs'!$B$14,ISNUMBER(G16),G16&gt;0),11,"")</f>
        <v>11</v>
      </c>
      <c r="B17" s="4">
        <f>IF(A17="","",IF('Loan Inputs'!$B$14=12,DATE(YEAR('Loan Inputs'!$B$8),MONTH('Loan Inputs'!$B$8)+A17,DAY('Loan Inputs'!$B$8)),'Loan Inputs'!$B$8+A17*IF('Loan Inputs'!$B$14=26,14,7)))</f>
        <v>46661</v>
      </c>
      <c r="C17" s="2">
        <f t="shared" si="2"/>
        <v>641290.49679754593</v>
      </c>
      <c r="D17" s="2">
        <f>IF(A17="","",MIN('Loan Inputs'!$B$17,C17+E17)+H17)</f>
        <v>4311.533367807353</v>
      </c>
      <c r="E17" s="2">
        <f>IF(A17="","",C17*'Loan Inputs'!$B$15)</f>
        <v>3414.8718954469318</v>
      </c>
      <c r="F17" s="2">
        <f t="shared" si="0"/>
        <v>896.66147236042116</v>
      </c>
      <c r="G17" s="2">
        <f t="shared" si="1"/>
        <v>640393.83532518556</v>
      </c>
      <c r="H17" s="2">
        <f>IF(A17="","",MIN('Loan Inputs'!$B$18,MAX(0,C17+E17-'Loan Inputs'!$B$17)))</f>
        <v>250</v>
      </c>
    </row>
    <row r="18" spans="1:8" ht="22" customHeight="1">
      <c r="A18" s="1">
        <f>IF(AND('Loan Inputs'!$B$12,12&lt;=IF('Loan Inputs'!$B$12,'Loan Inputs'!$B$7,0)*'Loan Inputs'!$B$14+5*'Loan Inputs'!$B$14,ISNUMBER(G17),G17&gt;0),12,"")</f>
        <v>12</v>
      </c>
      <c r="B18" s="4">
        <f>IF(A18="","",IF('Loan Inputs'!$B$14=12,DATE(YEAR('Loan Inputs'!$B$8),MONTH('Loan Inputs'!$B$8)+A18,DAY('Loan Inputs'!$B$8)),'Loan Inputs'!$B$8+A18*IF('Loan Inputs'!$B$14=26,14,7)))</f>
        <v>46692</v>
      </c>
      <c r="C18" s="2">
        <f t="shared" si="2"/>
        <v>640393.83532518556</v>
      </c>
      <c r="D18" s="2">
        <f>IF(A18="","",MIN('Loan Inputs'!$B$17,C18+E18)+H18)</f>
        <v>4311.533367807353</v>
      </c>
      <c r="E18" s="2">
        <f>IF(A18="","",C18*'Loan Inputs'!$B$15)</f>
        <v>3410.0971731066129</v>
      </c>
      <c r="F18" s="2">
        <f t="shared" si="0"/>
        <v>901.43619470074009</v>
      </c>
      <c r="G18" s="2">
        <f t="shared" si="1"/>
        <v>639492.39913048479</v>
      </c>
      <c r="H18" s="2">
        <f>IF(A18="","",MIN('Loan Inputs'!$B$18,MAX(0,C18+E18-'Loan Inputs'!$B$17)))</f>
        <v>250</v>
      </c>
    </row>
    <row r="19" spans="1:8" ht="22" customHeight="1">
      <c r="A19" s="1">
        <f>IF(AND('Loan Inputs'!$B$12,13&lt;=IF('Loan Inputs'!$B$12,'Loan Inputs'!$B$7,0)*'Loan Inputs'!$B$14+5*'Loan Inputs'!$B$14,ISNUMBER(G18),G18&gt;0),13,"")</f>
        <v>13</v>
      </c>
      <c r="B19" s="4">
        <f>IF(A19="","",IF('Loan Inputs'!$B$14=12,DATE(YEAR('Loan Inputs'!$B$8),MONTH('Loan Inputs'!$B$8)+A19,DAY('Loan Inputs'!$B$8)),'Loan Inputs'!$B$8+A19*IF('Loan Inputs'!$B$14=26,14,7)))</f>
        <v>46722</v>
      </c>
      <c r="C19" s="2">
        <f t="shared" si="2"/>
        <v>639492.39913048479</v>
      </c>
      <c r="D19" s="2">
        <f>IF(A19="","",MIN('Loan Inputs'!$B$17,C19+E19)+H19)</f>
        <v>4311.533367807353</v>
      </c>
      <c r="E19" s="2">
        <f>IF(A19="","",C19*'Loan Inputs'!$B$15)</f>
        <v>3405.2970253698313</v>
      </c>
      <c r="F19" s="2">
        <f t="shared" si="0"/>
        <v>906.23634243752167</v>
      </c>
      <c r="G19" s="2">
        <f t="shared" si="1"/>
        <v>638586.16278804722</v>
      </c>
      <c r="H19" s="2">
        <f>IF(A19="","",MIN('Loan Inputs'!$B$18,MAX(0,C19+E19-'Loan Inputs'!$B$17)))</f>
        <v>250</v>
      </c>
    </row>
    <row r="20" spans="1:8" ht="22" customHeight="1">
      <c r="A20" s="1">
        <f>IF(AND('Loan Inputs'!$B$12,14&lt;=IF('Loan Inputs'!$B$12,'Loan Inputs'!$B$7,0)*'Loan Inputs'!$B$14+5*'Loan Inputs'!$B$14,ISNUMBER(G19),G19&gt;0),14,"")</f>
        <v>14</v>
      </c>
      <c r="B20" s="4">
        <f>IF(A20="","",IF('Loan Inputs'!$B$14=12,DATE(YEAR('Loan Inputs'!$B$8),MONTH('Loan Inputs'!$B$8)+A20,DAY('Loan Inputs'!$B$8)),'Loan Inputs'!$B$8+A20*IF('Loan Inputs'!$B$14=26,14,7)))</f>
        <v>46753</v>
      </c>
      <c r="C20" s="2">
        <f t="shared" si="2"/>
        <v>638586.16278804722</v>
      </c>
      <c r="D20" s="2">
        <f>IF(A20="","",MIN('Loan Inputs'!$B$17,C20+E20)+H20)</f>
        <v>4311.533367807353</v>
      </c>
      <c r="E20" s="2">
        <f>IF(A20="","",C20*'Loan Inputs'!$B$15)</f>
        <v>3400.4713168463513</v>
      </c>
      <c r="F20" s="2">
        <f t="shared" si="0"/>
        <v>911.06205096100166</v>
      </c>
      <c r="G20" s="2">
        <f t="shared" si="1"/>
        <v>637675.10073708626</v>
      </c>
      <c r="H20" s="2">
        <f>IF(A20="","",MIN('Loan Inputs'!$B$18,MAX(0,C20+E20-'Loan Inputs'!$B$17)))</f>
        <v>250</v>
      </c>
    </row>
    <row r="21" spans="1:8" ht="22" customHeight="1">
      <c r="A21" s="1">
        <f>IF(AND('Loan Inputs'!$B$12,15&lt;=IF('Loan Inputs'!$B$12,'Loan Inputs'!$B$7,0)*'Loan Inputs'!$B$14+5*'Loan Inputs'!$B$14,ISNUMBER(G20),G20&gt;0),15,"")</f>
        <v>15</v>
      </c>
      <c r="B21" s="4">
        <f>IF(A21="","",IF('Loan Inputs'!$B$14=12,DATE(YEAR('Loan Inputs'!$B$8),MONTH('Loan Inputs'!$B$8)+A21,DAY('Loan Inputs'!$B$8)),'Loan Inputs'!$B$8+A21*IF('Loan Inputs'!$B$14=26,14,7)))</f>
        <v>46784</v>
      </c>
      <c r="C21" s="2">
        <f t="shared" si="2"/>
        <v>637675.10073708626</v>
      </c>
      <c r="D21" s="2">
        <f>IF(A21="","",MIN('Loan Inputs'!$B$17,C21+E21)+H21)</f>
        <v>4311.533367807353</v>
      </c>
      <c r="E21" s="2">
        <f>IF(A21="","",C21*'Loan Inputs'!$B$15)</f>
        <v>3395.6199114249844</v>
      </c>
      <c r="F21" s="2">
        <f t="shared" si="0"/>
        <v>915.91345638236862</v>
      </c>
      <c r="G21" s="2">
        <f t="shared" si="1"/>
        <v>636759.18728070392</v>
      </c>
      <c r="H21" s="2">
        <f>IF(A21="","",MIN('Loan Inputs'!$B$18,MAX(0,C21+E21-'Loan Inputs'!$B$17)))</f>
        <v>250</v>
      </c>
    </row>
    <row r="22" spans="1:8" ht="22" customHeight="1">
      <c r="A22" s="1">
        <f>IF(AND('Loan Inputs'!$B$12,16&lt;=IF('Loan Inputs'!$B$12,'Loan Inputs'!$B$7,0)*'Loan Inputs'!$B$14+5*'Loan Inputs'!$B$14,ISNUMBER(G21),G21&gt;0),16,"")</f>
        <v>16</v>
      </c>
      <c r="B22" s="4">
        <f>IF(A22="","",IF('Loan Inputs'!$B$14=12,DATE(YEAR('Loan Inputs'!$B$8),MONTH('Loan Inputs'!$B$8)+A22,DAY('Loan Inputs'!$B$8)),'Loan Inputs'!$B$8+A22*IF('Loan Inputs'!$B$14=26,14,7)))</f>
        <v>46813</v>
      </c>
      <c r="C22" s="2">
        <f t="shared" si="2"/>
        <v>636759.18728070392</v>
      </c>
      <c r="D22" s="2">
        <f>IF(A22="","",MIN('Loan Inputs'!$B$17,C22+E22)+H22)</f>
        <v>4311.533367807353</v>
      </c>
      <c r="E22" s="2">
        <f>IF(A22="","",C22*'Loan Inputs'!$B$15)</f>
        <v>3390.7426722697483</v>
      </c>
      <c r="F22" s="2">
        <f t="shared" si="0"/>
        <v>920.79069553760473</v>
      </c>
      <c r="G22" s="2">
        <f t="shared" si="1"/>
        <v>635838.39658516634</v>
      </c>
      <c r="H22" s="2">
        <f>IF(A22="","",MIN('Loan Inputs'!$B$18,MAX(0,C22+E22-'Loan Inputs'!$B$17)))</f>
        <v>250</v>
      </c>
    </row>
    <row r="23" spans="1:8" ht="22" customHeight="1">
      <c r="A23" s="1">
        <f>IF(AND('Loan Inputs'!$B$12,17&lt;=IF('Loan Inputs'!$B$12,'Loan Inputs'!$B$7,0)*'Loan Inputs'!$B$14+5*'Loan Inputs'!$B$14,ISNUMBER(G22),G22&gt;0),17,"")</f>
        <v>17</v>
      </c>
      <c r="B23" s="4">
        <f>IF(A23="","",IF('Loan Inputs'!$B$14=12,DATE(YEAR('Loan Inputs'!$B$8),MONTH('Loan Inputs'!$B$8)+A23,DAY('Loan Inputs'!$B$8)),'Loan Inputs'!$B$8+A23*IF('Loan Inputs'!$B$14=26,14,7)))</f>
        <v>46844</v>
      </c>
      <c r="C23" s="2">
        <f t="shared" si="2"/>
        <v>635838.39658516634</v>
      </c>
      <c r="D23" s="2">
        <f>IF(A23="","",MIN('Loan Inputs'!$B$17,C23+E23)+H23)</f>
        <v>4311.533367807353</v>
      </c>
      <c r="E23" s="2">
        <f>IF(A23="","",C23*'Loan Inputs'!$B$15)</f>
        <v>3385.8394618160105</v>
      </c>
      <c r="F23" s="2">
        <f t="shared" si="0"/>
        <v>925.69390599134249</v>
      </c>
      <c r="G23" s="2">
        <f t="shared" si="1"/>
        <v>634912.70267917495</v>
      </c>
      <c r="H23" s="2">
        <f>IF(A23="","",MIN('Loan Inputs'!$B$18,MAX(0,C23+E23-'Loan Inputs'!$B$17)))</f>
        <v>250</v>
      </c>
    </row>
    <row r="24" spans="1:8" ht="22" customHeight="1">
      <c r="A24" s="1">
        <f>IF(AND('Loan Inputs'!$B$12,18&lt;=IF('Loan Inputs'!$B$12,'Loan Inputs'!$B$7,0)*'Loan Inputs'!$B$14+5*'Loan Inputs'!$B$14,ISNUMBER(G23),G23&gt;0),18,"")</f>
        <v>18</v>
      </c>
      <c r="B24" s="4">
        <f>IF(A24="","",IF('Loan Inputs'!$B$14=12,DATE(YEAR('Loan Inputs'!$B$8),MONTH('Loan Inputs'!$B$8)+A24,DAY('Loan Inputs'!$B$8)),'Loan Inputs'!$B$8+A24*IF('Loan Inputs'!$B$14=26,14,7)))</f>
        <v>46874</v>
      </c>
      <c r="C24" s="2">
        <f t="shared" si="2"/>
        <v>634912.70267917495</v>
      </c>
      <c r="D24" s="2">
        <f>IF(A24="","",MIN('Loan Inputs'!$B$17,C24+E24)+H24)</f>
        <v>4311.533367807353</v>
      </c>
      <c r="E24" s="2">
        <f>IF(A24="","",C24*'Loan Inputs'!$B$15)</f>
        <v>3380.9101417666066</v>
      </c>
      <c r="F24" s="2">
        <f t="shared" si="0"/>
        <v>930.62322604074643</v>
      </c>
      <c r="G24" s="2">
        <f t="shared" si="1"/>
        <v>633982.07945313421</v>
      </c>
      <c r="H24" s="2">
        <f>IF(A24="","",MIN('Loan Inputs'!$B$18,MAX(0,C24+E24-'Loan Inputs'!$B$17)))</f>
        <v>250</v>
      </c>
    </row>
    <row r="25" spans="1:8" ht="22" customHeight="1">
      <c r="A25" s="1">
        <f>IF(AND('Loan Inputs'!$B$12,19&lt;=IF('Loan Inputs'!$B$12,'Loan Inputs'!$B$7,0)*'Loan Inputs'!$B$14+5*'Loan Inputs'!$B$14,ISNUMBER(G24),G24&gt;0),19,"")</f>
        <v>19</v>
      </c>
      <c r="B25" s="4">
        <f>IF(A25="","",IF('Loan Inputs'!$B$14=12,DATE(YEAR('Loan Inputs'!$B$8),MONTH('Loan Inputs'!$B$8)+A25,DAY('Loan Inputs'!$B$8)),'Loan Inputs'!$B$8+A25*IF('Loan Inputs'!$B$14=26,14,7)))</f>
        <v>46905</v>
      </c>
      <c r="C25" s="2">
        <f t="shared" si="2"/>
        <v>633982.07945313421</v>
      </c>
      <c r="D25" s="2">
        <f>IF(A25="","",MIN('Loan Inputs'!$B$17,C25+E25)+H25)</f>
        <v>4311.533367807353</v>
      </c>
      <c r="E25" s="2">
        <f>IF(A25="","",C25*'Loan Inputs'!$B$15)</f>
        <v>3375.9545730879395</v>
      </c>
      <c r="F25" s="2">
        <f t="shared" si="0"/>
        <v>935.57879471941351</v>
      </c>
      <c r="G25" s="2">
        <f t="shared" si="1"/>
        <v>633046.50065841479</v>
      </c>
      <c r="H25" s="2">
        <f>IF(A25="","",MIN('Loan Inputs'!$B$18,MAX(0,C25+E25-'Loan Inputs'!$B$17)))</f>
        <v>250</v>
      </c>
    </row>
    <row r="26" spans="1:8" ht="22" customHeight="1">
      <c r="A26" s="1">
        <f>IF(AND('Loan Inputs'!$B$12,20&lt;=IF('Loan Inputs'!$B$12,'Loan Inputs'!$B$7,0)*'Loan Inputs'!$B$14+5*'Loan Inputs'!$B$14,ISNUMBER(G25),G25&gt;0),20,"")</f>
        <v>20</v>
      </c>
      <c r="B26" s="4">
        <f>IF(A26="","",IF('Loan Inputs'!$B$14=12,DATE(YEAR('Loan Inputs'!$B$8),MONTH('Loan Inputs'!$B$8)+A26,DAY('Loan Inputs'!$B$8)),'Loan Inputs'!$B$8+A26*IF('Loan Inputs'!$B$14=26,14,7)))</f>
        <v>46935</v>
      </c>
      <c r="C26" s="2">
        <f t="shared" si="2"/>
        <v>633046.50065841479</v>
      </c>
      <c r="D26" s="2">
        <f>IF(A26="","",MIN('Loan Inputs'!$B$17,C26+E26)+H26)</f>
        <v>4311.533367807353</v>
      </c>
      <c r="E26" s="2">
        <f>IF(A26="","",C26*'Loan Inputs'!$B$15)</f>
        <v>3370.9726160060586</v>
      </c>
      <c r="F26" s="2">
        <f t="shared" si="0"/>
        <v>940.56075180129437</v>
      </c>
      <c r="G26" s="2">
        <f t="shared" si="1"/>
        <v>632105.93990661355</v>
      </c>
      <c r="H26" s="2">
        <f>IF(A26="","",MIN('Loan Inputs'!$B$18,MAX(0,C26+E26-'Loan Inputs'!$B$17)))</f>
        <v>250</v>
      </c>
    </row>
    <row r="27" spans="1:8" ht="22" customHeight="1">
      <c r="A27" s="1">
        <f>IF(AND('Loan Inputs'!$B$12,21&lt;=IF('Loan Inputs'!$B$12,'Loan Inputs'!$B$7,0)*'Loan Inputs'!$B$14+5*'Loan Inputs'!$B$14,ISNUMBER(G26),G26&gt;0),21,"")</f>
        <v>21</v>
      </c>
      <c r="B27" s="4">
        <f>IF(A27="","",IF('Loan Inputs'!$B$14=12,DATE(YEAR('Loan Inputs'!$B$8),MONTH('Loan Inputs'!$B$8)+A27,DAY('Loan Inputs'!$B$8)),'Loan Inputs'!$B$8+A27*IF('Loan Inputs'!$B$14=26,14,7)))</f>
        <v>46966</v>
      </c>
      <c r="C27" s="2">
        <f t="shared" si="2"/>
        <v>632105.93990661355</v>
      </c>
      <c r="D27" s="2">
        <f>IF(A27="","",MIN('Loan Inputs'!$B$17,C27+E27)+H27)</f>
        <v>4311.533367807353</v>
      </c>
      <c r="E27" s="2">
        <f>IF(A27="","",C27*'Loan Inputs'!$B$15)</f>
        <v>3365.964130002717</v>
      </c>
      <c r="F27" s="2">
        <f t="shared" si="0"/>
        <v>945.56923780463603</v>
      </c>
      <c r="G27" s="2">
        <f t="shared" si="1"/>
        <v>631160.37066880893</v>
      </c>
      <c r="H27" s="2">
        <f>IF(A27="","",MIN('Loan Inputs'!$B$18,MAX(0,C27+E27-'Loan Inputs'!$B$17)))</f>
        <v>250</v>
      </c>
    </row>
    <row r="28" spans="1:8" ht="22" customHeight="1">
      <c r="A28" s="1">
        <f>IF(AND('Loan Inputs'!$B$12,22&lt;=IF('Loan Inputs'!$B$12,'Loan Inputs'!$B$7,0)*'Loan Inputs'!$B$14+5*'Loan Inputs'!$B$14,ISNUMBER(G27),G27&gt;0),22,"")</f>
        <v>22</v>
      </c>
      <c r="B28" s="4">
        <f>IF(A28="","",IF('Loan Inputs'!$B$14=12,DATE(YEAR('Loan Inputs'!$B$8),MONTH('Loan Inputs'!$B$8)+A28,DAY('Loan Inputs'!$B$8)),'Loan Inputs'!$B$8+A28*IF('Loan Inputs'!$B$14=26,14,7)))</f>
        <v>46997</v>
      </c>
      <c r="C28" s="2">
        <f t="shared" si="2"/>
        <v>631160.37066880893</v>
      </c>
      <c r="D28" s="2">
        <f>IF(A28="","",MIN('Loan Inputs'!$B$17,C28+E28)+H28)</f>
        <v>4311.533367807353</v>
      </c>
      <c r="E28" s="2">
        <f>IF(A28="","",C28*'Loan Inputs'!$B$15)</f>
        <v>3360.9289738114076</v>
      </c>
      <c r="F28" s="2">
        <f t="shared" si="0"/>
        <v>950.60439399594543</v>
      </c>
      <c r="G28" s="2">
        <f t="shared" si="1"/>
        <v>630209.76627481298</v>
      </c>
      <c r="H28" s="2">
        <f>IF(A28="","",MIN('Loan Inputs'!$B$18,MAX(0,C28+E28-'Loan Inputs'!$B$17)))</f>
        <v>250</v>
      </c>
    </row>
    <row r="29" spans="1:8" ht="22" customHeight="1">
      <c r="A29" s="1">
        <f>IF(AND('Loan Inputs'!$B$12,23&lt;=IF('Loan Inputs'!$B$12,'Loan Inputs'!$B$7,0)*'Loan Inputs'!$B$14+5*'Loan Inputs'!$B$14,ISNUMBER(G28),G28&gt;0),23,"")</f>
        <v>23</v>
      </c>
      <c r="B29" s="4">
        <f>IF(A29="","",IF('Loan Inputs'!$B$14=12,DATE(YEAR('Loan Inputs'!$B$8),MONTH('Loan Inputs'!$B$8)+A29,DAY('Loan Inputs'!$B$8)),'Loan Inputs'!$B$8+A29*IF('Loan Inputs'!$B$14=26,14,7)))</f>
        <v>47027</v>
      </c>
      <c r="C29" s="2">
        <f t="shared" si="2"/>
        <v>630209.76627481298</v>
      </c>
      <c r="D29" s="2">
        <f>IF(A29="","",MIN('Loan Inputs'!$B$17,C29+E29)+H29)</f>
        <v>4311.533367807353</v>
      </c>
      <c r="E29" s="2">
        <f>IF(A29="","",C29*'Loan Inputs'!$B$15)</f>
        <v>3355.867005413379</v>
      </c>
      <c r="F29" s="2">
        <f t="shared" si="0"/>
        <v>955.66636239397394</v>
      </c>
      <c r="G29" s="2">
        <f t="shared" si="1"/>
        <v>629254.09991241898</v>
      </c>
      <c r="H29" s="2">
        <f>IF(A29="","",MIN('Loan Inputs'!$B$18,MAX(0,C29+E29-'Loan Inputs'!$B$17)))</f>
        <v>250</v>
      </c>
    </row>
    <row r="30" spans="1:8" ht="22" customHeight="1">
      <c r="A30" s="1">
        <f>IF(AND('Loan Inputs'!$B$12,24&lt;=IF('Loan Inputs'!$B$12,'Loan Inputs'!$B$7,0)*'Loan Inputs'!$B$14+5*'Loan Inputs'!$B$14,ISNUMBER(G29),G29&gt;0),24,"")</f>
        <v>24</v>
      </c>
      <c r="B30" s="4">
        <f>IF(A30="","",IF('Loan Inputs'!$B$14=12,DATE(YEAR('Loan Inputs'!$B$8),MONTH('Loan Inputs'!$B$8)+A30,DAY('Loan Inputs'!$B$8)),'Loan Inputs'!$B$8+A30*IF('Loan Inputs'!$B$14=26,14,7)))</f>
        <v>47058</v>
      </c>
      <c r="C30" s="2">
        <f t="shared" si="2"/>
        <v>629254.09991241898</v>
      </c>
      <c r="D30" s="2">
        <f>IF(A30="","",MIN('Loan Inputs'!$B$17,C30+E30)+H30)</f>
        <v>4311.533367807353</v>
      </c>
      <c r="E30" s="2">
        <f>IF(A30="","",C30*'Loan Inputs'!$B$15)</f>
        <v>3350.7780820336311</v>
      </c>
      <c r="F30" s="2">
        <f t="shared" si="0"/>
        <v>960.75528577372188</v>
      </c>
      <c r="G30" s="2">
        <f t="shared" si="1"/>
        <v>628293.34462664521</v>
      </c>
      <c r="H30" s="2">
        <f>IF(A30="","",MIN('Loan Inputs'!$B$18,MAX(0,C30+E30-'Loan Inputs'!$B$17)))</f>
        <v>250</v>
      </c>
    </row>
    <row r="31" spans="1:8" ht="22" customHeight="1">
      <c r="A31" s="1">
        <f>IF(AND('Loan Inputs'!$B$12,25&lt;=IF('Loan Inputs'!$B$12,'Loan Inputs'!$B$7,0)*'Loan Inputs'!$B$14+5*'Loan Inputs'!$B$14,ISNUMBER(G30),G30&gt;0),25,"")</f>
        <v>25</v>
      </c>
      <c r="B31" s="4">
        <f>IF(A31="","",IF('Loan Inputs'!$B$14=12,DATE(YEAR('Loan Inputs'!$B$8),MONTH('Loan Inputs'!$B$8)+A31,DAY('Loan Inputs'!$B$8)),'Loan Inputs'!$B$8+A31*IF('Loan Inputs'!$B$14=26,14,7)))</f>
        <v>47088</v>
      </c>
      <c r="C31" s="2">
        <f t="shared" si="2"/>
        <v>628293.34462664521</v>
      </c>
      <c r="D31" s="2">
        <f>IF(A31="","",MIN('Loan Inputs'!$B$17,C31+E31)+H31)</f>
        <v>4311.533367807353</v>
      </c>
      <c r="E31" s="2">
        <f>IF(A31="","",C31*'Loan Inputs'!$B$15)</f>
        <v>3345.6620601368854</v>
      </c>
      <c r="F31" s="2">
        <f t="shared" si="0"/>
        <v>965.87130767046756</v>
      </c>
      <c r="G31" s="2">
        <f t="shared" si="1"/>
        <v>627327.47331897472</v>
      </c>
      <c r="H31" s="2">
        <f>IF(A31="","",MIN('Loan Inputs'!$B$18,MAX(0,C31+E31-'Loan Inputs'!$B$17)))</f>
        <v>250</v>
      </c>
    </row>
    <row r="32" spans="1:8" ht="22" customHeight="1">
      <c r="A32" s="1">
        <f>IF(AND('Loan Inputs'!$B$12,26&lt;=IF('Loan Inputs'!$B$12,'Loan Inputs'!$B$7,0)*'Loan Inputs'!$B$14+5*'Loan Inputs'!$B$14,ISNUMBER(G31),G31&gt;0),26,"")</f>
        <v>26</v>
      </c>
      <c r="B32" s="4">
        <f>IF(A32="","",IF('Loan Inputs'!$B$14=12,DATE(YEAR('Loan Inputs'!$B$8),MONTH('Loan Inputs'!$B$8)+A32,DAY('Loan Inputs'!$B$8)),'Loan Inputs'!$B$8+A32*IF('Loan Inputs'!$B$14=26,14,7)))</f>
        <v>47119</v>
      </c>
      <c r="C32" s="2">
        <f t="shared" si="2"/>
        <v>627327.47331897472</v>
      </c>
      <c r="D32" s="2">
        <f>IF(A32="","",MIN('Loan Inputs'!$B$17,C32+E32)+H32)</f>
        <v>4311.533367807353</v>
      </c>
      <c r="E32" s="2">
        <f>IF(A32="","",C32*'Loan Inputs'!$B$15)</f>
        <v>3340.5187954235403</v>
      </c>
      <c r="F32" s="2">
        <f t="shared" si="0"/>
        <v>971.01457238381272</v>
      </c>
      <c r="G32" s="2">
        <f t="shared" si="1"/>
        <v>626356.45874659088</v>
      </c>
      <c r="H32" s="2">
        <f>IF(A32="","",MIN('Loan Inputs'!$B$18,MAX(0,C32+E32-'Loan Inputs'!$B$17)))</f>
        <v>250</v>
      </c>
    </row>
    <row r="33" spans="1:8" ht="22" customHeight="1">
      <c r="A33" s="1">
        <f>IF(AND('Loan Inputs'!$B$12,27&lt;=IF('Loan Inputs'!$B$12,'Loan Inputs'!$B$7,0)*'Loan Inputs'!$B$14+5*'Loan Inputs'!$B$14,ISNUMBER(G32),G32&gt;0),27,"")</f>
        <v>27</v>
      </c>
      <c r="B33" s="4">
        <f>IF(A33="","",IF('Loan Inputs'!$B$14=12,DATE(YEAR('Loan Inputs'!$B$8),MONTH('Loan Inputs'!$B$8)+A33,DAY('Loan Inputs'!$B$8)),'Loan Inputs'!$B$8+A33*IF('Loan Inputs'!$B$14=26,14,7)))</f>
        <v>47150</v>
      </c>
      <c r="C33" s="2">
        <f t="shared" si="2"/>
        <v>626356.45874659088</v>
      </c>
      <c r="D33" s="2">
        <f>IF(A33="","",MIN('Loan Inputs'!$B$17,C33+E33)+H33)</f>
        <v>4311.533367807353</v>
      </c>
      <c r="E33" s="2">
        <f>IF(A33="","",C33*'Loan Inputs'!$B$15)</f>
        <v>3335.3481428255964</v>
      </c>
      <c r="F33" s="2">
        <f t="shared" si="0"/>
        <v>976.18522498175662</v>
      </c>
      <c r="G33" s="2">
        <f t="shared" si="1"/>
        <v>625380.27352160914</v>
      </c>
      <c r="H33" s="2">
        <f>IF(A33="","",MIN('Loan Inputs'!$B$18,MAX(0,C33+E33-'Loan Inputs'!$B$17)))</f>
        <v>250</v>
      </c>
    </row>
    <row r="34" spans="1:8" ht="22" customHeight="1">
      <c r="A34" s="1">
        <f>IF(AND('Loan Inputs'!$B$12,28&lt;=IF('Loan Inputs'!$B$12,'Loan Inputs'!$B$7,0)*'Loan Inputs'!$B$14+5*'Loan Inputs'!$B$14,ISNUMBER(G33),G33&gt;0),28,"")</f>
        <v>28</v>
      </c>
      <c r="B34" s="4">
        <f>IF(A34="","",IF('Loan Inputs'!$B$14=12,DATE(YEAR('Loan Inputs'!$B$8),MONTH('Loan Inputs'!$B$8)+A34,DAY('Loan Inputs'!$B$8)),'Loan Inputs'!$B$8+A34*IF('Loan Inputs'!$B$14=26,14,7)))</f>
        <v>47178</v>
      </c>
      <c r="C34" s="2">
        <f t="shared" si="2"/>
        <v>625380.27352160914</v>
      </c>
      <c r="D34" s="2">
        <f>IF(A34="","",MIN('Loan Inputs'!$B$17,C34+E34)+H34)</f>
        <v>4311.533367807353</v>
      </c>
      <c r="E34" s="2">
        <f>IF(A34="","",C34*'Loan Inputs'!$B$15)</f>
        <v>3330.1499565025688</v>
      </c>
      <c r="F34" s="2">
        <f t="shared" si="0"/>
        <v>981.3834113047842</v>
      </c>
      <c r="G34" s="2">
        <f t="shared" si="1"/>
        <v>624398.89011030435</v>
      </c>
      <c r="H34" s="2">
        <f>IF(A34="","",MIN('Loan Inputs'!$B$18,MAX(0,C34+E34-'Loan Inputs'!$B$17)))</f>
        <v>250</v>
      </c>
    </row>
    <row r="35" spans="1:8" ht="22" customHeight="1">
      <c r="A35" s="1">
        <f>IF(AND('Loan Inputs'!$B$12,29&lt;=IF('Loan Inputs'!$B$12,'Loan Inputs'!$B$7,0)*'Loan Inputs'!$B$14+5*'Loan Inputs'!$B$14,ISNUMBER(G34),G34&gt;0),29,"")</f>
        <v>29</v>
      </c>
      <c r="B35" s="4">
        <f>IF(A35="","",IF('Loan Inputs'!$B$14=12,DATE(YEAR('Loan Inputs'!$B$8),MONTH('Loan Inputs'!$B$8)+A35,DAY('Loan Inputs'!$B$8)),'Loan Inputs'!$B$8+A35*IF('Loan Inputs'!$B$14=26,14,7)))</f>
        <v>47209</v>
      </c>
      <c r="C35" s="2">
        <f t="shared" si="2"/>
        <v>624398.89011030435</v>
      </c>
      <c r="D35" s="2">
        <f>IF(A35="","",MIN('Loan Inputs'!$B$17,C35+E35)+H35)</f>
        <v>4311.533367807353</v>
      </c>
      <c r="E35" s="2">
        <f>IF(A35="","",C35*'Loan Inputs'!$B$15)</f>
        <v>3324.9240898373705</v>
      </c>
      <c r="F35" s="2">
        <f t="shared" si="0"/>
        <v>986.60927796998249</v>
      </c>
      <c r="G35" s="2">
        <f t="shared" si="1"/>
        <v>623412.28083233442</v>
      </c>
      <c r="H35" s="2">
        <f>IF(A35="","",MIN('Loan Inputs'!$B$18,MAX(0,C35+E35-'Loan Inputs'!$B$17)))</f>
        <v>250</v>
      </c>
    </row>
    <row r="36" spans="1:8" ht="22" customHeight="1">
      <c r="A36" s="1">
        <f>IF(AND('Loan Inputs'!$B$12,30&lt;=IF('Loan Inputs'!$B$12,'Loan Inputs'!$B$7,0)*'Loan Inputs'!$B$14+5*'Loan Inputs'!$B$14,ISNUMBER(G35),G35&gt;0),30,"")</f>
        <v>30</v>
      </c>
      <c r="B36" s="4">
        <f>IF(A36="","",IF('Loan Inputs'!$B$14=12,DATE(YEAR('Loan Inputs'!$B$8),MONTH('Loan Inputs'!$B$8)+A36,DAY('Loan Inputs'!$B$8)),'Loan Inputs'!$B$8+A36*IF('Loan Inputs'!$B$14=26,14,7)))</f>
        <v>47239</v>
      </c>
      <c r="C36" s="2">
        <f t="shared" si="2"/>
        <v>623412.28083233442</v>
      </c>
      <c r="D36" s="2">
        <f>IF(A36="","",MIN('Loan Inputs'!$B$17,C36+E36)+H36)</f>
        <v>4311.533367807353</v>
      </c>
      <c r="E36" s="2">
        <f>IF(A36="","",C36*'Loan Inputs'!$B$15)</f>
        <v>3319.6703954321806</v>
      </c>
      <c r="F36" s="2">
        <f t="shared" si="0"/>
        <v>991.86297237517238</v>
      </c>
      <c r="G36" s="2">
        <f t="shared" si="1"/>
        <v>622420.4178599593</v>
      </c>
      <c r="H36" s="2">
        <f>IF(A36="","",MIN('Loan Inputs'!$B$18,MAX(0,C36+E36-'Loan Inputs'!$B$17)))</f>
        <v>250</v>
      </c>
    </row>
    <row r="37" spans="1:8" ht="22" customHeight="1">
      <c r="A37" s="1">
        <f>IF(AND('Loan Inputs'!$B$12,31&lt;=IF('Loan Inputs'!$B$12,'Loan Inputs'!$B$7,0)*'Loan Inputs'!$B$14+5*'Loan Inputs'!$B$14,ISNUMBER(G36),G36&gt;0),31,"")</f>
        <v>31</v>
      </c>
      <c r="B37" s="4">
        <f>IF(A37="","",IF('Loan Inputs'!$B$14=12,DATE(YEAR('Loan Inputs'!$B$8),MONTH('Loan Inputs'!$B$8)+A37,DAY('Loan Inputs'!$B$8)),'Loan Inputs'!$B$8+A37*IF('Loan Inputs'!$B$14=26,14,7)))</f>
        <v>47270</v>
      </c>
      <c r="C37" s="2">
        <f t="shared" si="2"/>
        <v>622420.4178599593</v>
      </c>
      <c r="D37" s="2">
        <f>IF(A37="","",MIN('Loan Inputs'!$B$17,C37+E37)+H37)</f>
        <v>4311.533367807353</v>
      </c>
      <c r="E37" s="2">
        <f>IF(A37="","",C37*'Loan Inputs'!$B$15)</f>
        <v>3314.3887251042834</v>
      </c>
      <c r="F37" s="2">
        <f t="shared" si="0"/>
        <v>997.14464270306962</v>
      </c>
      <c r="G37" s="2">
        <f t="shared" si="1"/>
        <v>621423.27321725618</v>
      </c>
      <c r="H37" s="2">
        <f>IF(A37="","",MIN('Loan Inputs'!$B$18,MAX(0,C37+E37-'Loan Inputs'!$B$17)))</f>
        <v>250</v>
      </c>
    </row>
    <row r="38" spans="1:8" ht="22" customHeight="1">
      <c r="A38" s="1">
        <f>IF(AND('Loan Inputs'!$B$12,32&lt;=IF('Loan Inputs'!$B$12,'Loan Inputs'!$B$7,0)*'Loan Inputs'!$B$14+5*'Loan Inputs'!$B$14,ISNUMBER(G37),G37&gt;0),32,"")</f>
        <v>32</v>
      </c>
      <c r="B38" s="4">
        <f>IF(A38="","",IF('Loan Inputs'!$B$14=12,DATE(YEAR('Loan Inputs'!$B$8),MONTH('Loan Inputs'!$B$8)+A38,DAY('Loan Inputs'!$B$8)),'Loan Inputs'!$B$8+A38*IF('Loan Inputs'!$B$14=26,14,7)))</f>
        <v>47300</v>
      </c>
      <c r="C38" s="2">
        <f t="shared" si="2"/>
        <v>621423.27321725618</v>
      </c>
      <c r="D38" s="2">
        <f>IF(A38="","",MIN('Loan Inputs'!$B$17,C38+E38)+H38)</f>
        <v>4311.533367807353</v>
      </c>
      <c r="E38" s="2">
        <f>IF(A38="","",C38*'Loan Inputs'!$B$15)</f>
        <v>3309.0789298818891</v>
      </c>
      <c r="F38" s="2">
        <f t="shared" si="0"/>
        <v>1002.4544379254639</v>
      </c>
      <c r="G38" s="2">
        <f t="shared" si="1"/>
        <v>620420.8187793307</v>
      </c>
      <c r="H38" s="2">
        <f>IF(A38="","",MIN('Loan Inputs'!$B$18,MAX(0,C38+E38-'Loan Inputs'!$B$17)))</f>
        <v>250</v>
      </c>
    </row>
    <row r="39" spans="1:8" ht="22" customHeight="1">
      <c r="A39" s="1">
        <f>IF(AND('Loan Inputs'!$B$12,33&lt;=IF('Loan Inputs'!$B$12,'Loan Inputs'!$B$7,0)*'Loan Inputs'!$B$14+5*'Loan Inputs'!$B$14,ISNUMBER(G38),G38&gt;0),33,"")</f>
        <v>33</v>
      </c>
      <c r="B39" s="4">
        <f>IF(A39="","",IF('Loan Inputs'!$B$14=12,DATE(YEAR('Loan Inputs'!$B$8),MONTH('Loan Inputs'!$B$8)+A39,DAY('Loan Inputs'!$B$8)),'Loan Inputs'!$B$8+A39*IF('Loan Inputs'!$B$14=26,14,7)))</f>
        <v>47331</v>
      </c>
      <c r="C39" s="2">
        <f t="shared" si="2"/>
        <v>620420.8187793307</v>
      </c>
      <c r="D39" s="2">
        <f>IF(A39="","",MIN('Loan Inputs'!$B$17,C39+E39)+H39)</f>
        <v>4311.533367807353</v>
      </c>
      <c r="E39" s="2">
        <f>IF(A39="","",C39*'Loan Inputs'!$B$15)</f>
        <v>3303.7408599999358</v>
      </c>
      <c r="F39" s="2">
        <f t="shared" si="0"/>
        <v>1007.7925078074172</v>
      </c>
      <c r="G39" s="2">
        <f t="shared" si="1"/>
        <v>619413.02627152333</v>
      </c>
      <c r="H39" s="2">
        <f>IF(A39="","",MIN('Loan Inputs'!$B$18,MAX(0,C39+E39-'Loan Inputs'!$B$17)))</f>
        <v>250</v>
      </c>
    </row>
    <row r="40" spans="1:8" ht="22" customHeight="1">
      <c r="A40" s="1">
        <f>IF(AND('Loan Inputs'!$B$12,34&lt;=IF('Loan Inputs'!$B$12,'Loan Inputs'!$B$7,0)*'Loan Inputs'!$B$14+5*'Loan Inputs'!$B$14,ISNUMBER(G39),G39&gt;0),34,"")</f>
        <v>34</v>
      </c>
      <c r="B40" s="4">
        <f>IF(A40="","",IF('Loan Inputs'!$B$14=12,DATE(YEAR('Loan Inputs'!$B$8),MONTH('Loan Inputs'!$B$8)+A40,DAY('Loan Inputs'!$B$8)),'Loan Inputs'!$B$8+A40*IF('Loan Inputs'!$B$14=26,14,7)))</f>
        <v>47362</v>
      </c>
      <c r="C40" s="2">
        <f t="shared" si="2"/>
        <v>619413.02627152333</v>
      </c>
      <c r="D40" s="2">
        <f>IF(A40="","",MIN('Loan Inputs'!$B$17,C40+E40)+H40)</f>
        <v>4311.533367807353</v>
      </c>
      <c r="E40" s="2">
        <f>IF(A40="","",C40*'Loan Inputs'!$B$15)</f>
        <v>3298.3743648958616</v>
      </c>
      <c r="F40" s="2">
        <f t="shared" si="0"/>
        <v>1013.1590029114914</v>
      </c>
      <c r="G40" s="2">
        <f t="shared" si="1"/>
        <v>618399.86726861179</v>
      </c>
      <c r="H40" s="2">
        <f>IF(A40="","",MIN('Loan Inputs'!$B$18,MAX(0,C40+E40-'Loan Inputs'!$B$17)))</f>
        <v>250</v>
      </c>
    </row>
    <row r="41" spans="1:8" ht="22" customHeight="1">
      <c r="A41" s="1">
        <f>IF(AND('Loan Inputs'!$B$12,35&lt;=IF('Loan Inputs'!$B$12,'Loan Inputs'!$B$7,0)*'Loan Inputs'!$B$14+5*'Loan Inputs'!$B$14,ISNUMBER(G40),G40&gt;0),35,"")</f>
        <v>35</v>
      </c>
      <c r="B41" s="4">
        <f>IF(A41="","",IF('Loan Inputs'!$B$14=12,DATE(YEAR('Loan Inputs'!$B$8),MONTH('Loan Inputs'!$B$8)+A41,DAY('Loan Inputs'!$B$8)),'Loan Inputs'!$B$8+A41*IF('Loan Inputs'!$B$14=26,14,7)))</f>
        <v>47392</v>
      </c>
      <c r="C41" s="2">
        <f t="shared" si="2"/>
        <v>618399.86726861179</v>
      </c>
      <c r="D41" s="2">
        <f>IF(A41="","",MIN('Loan Inputs'!$B$17,C41+E41)+H41)</f>
        <v>4311.533367807353</v>
      </c>
      <c r="E41" s="2">
        <f>IF(A41="","",C41*'Loan Inputs'!$B$15)</f>
        <v>3292.9792932053579</v>
      </c>
      <c r="F41" s="2">
        <f t="shared" si="0"/>
        <v>1018.5540746019951</v>
      </c>
      <c r="G41" s="2">
        <f t="shared" si="1"/>
        <v>617381.31319400982</v>
      </c>
      <c r="H41" s="2">
        <f>IF(A41="","",MIN('Loan Inputs'!$B$18,MAX(0,C41+E41-'Loan Inputs'!$B$17)))</f>
        <v>250</v>
      </c>
    </row>
    <row r="42" spans="1:8" ht="22" customHeight="1">
      <c r="A42" s="1">
        <f>IF(AND('Loan Inputs'!$B$12,36&lt;=IF('Loan Inputs'!$B$12,'Loan Inputs'!$B$7,0)*'Loan Inputs'!$B$14+5*'Loan Inputs'!$B$14,ISNUMBER(G41),G41&gt;0),36,"")</f>
        <v>36</v>
      </c>
      <c r="B42" s="4">
        <f>IF(A42="","",IF('Loan Inputs'!$B$14=12,DATE(YEAR('Loan Inputs'!$B$8),MONTH('Loan Inputs'!$B$8)+A42,DAY('Loan Inputs'!$B$8)),'Loan Inputs'!$B$8+A42*IF('Loan Inputs'!$B$14=26,14,7)))</f>
        <v>47423</v>
      </c>
      <c r="C42" s="2">
        <f t="shared" si="2"/>
        <v>617381.31319400982</v>
      </c>
      <c r="D42" s="2">
        <f>IF(A42="","",MIN('Loan Inputs'!$B$17,C42+E42)+H42)</f>
        <v>4311.533367807353</v>
      </c>
      <c r="E42" s="2">
        <f>IF(A42="","",C42*'Loan Inputs'!$B$15)</f>
        <v>3287.5554927581024</v>
      </c>
      <c r="F42" s="2">
        <f t="shared" si="0"/>
        <v>1023.9778750492505</v>
      </c>
      <c r="G42" s="2">
        <f t="shared" si="1"/>
        <v>616357.3353189606</v>
      </c>
      <c r="H42" s="2">
        <f>IF(A42="","",MIN('Loan Inputs'!$B$18,MAX(0,C42+E42-'Loan Inputs'!$B$17)))</f>
        <v>250</v>
      </c>
    </row>
    <row r="43" spans="1:8" ht="22" customHeight="1">
      <c r="A43" s="1">
        <f>IF(AND('Loan Inputs'!$B$12,37&lt;=IF('Loan Inputs'!$B$12,'Loan Inputs'!$B$7,0)*'Loan Inputs'!$B$14+5*'Loan Inputs'!$B$14,ISNUMBER(G42),G42&gt;0),37,"")</f>
        <v>37</v>
      </c>
      <c r="B43" s="4">
        <f>IF(A43="","",IF('Loan Inputs'!$B$14=12,DATE(YEAR('Loan Inputs'!$B$8),MONTH('Loan Inputs'!$B$8)+A43,DAY('Loan Inputs'!$B$8)),'Loan Inputs'!$B$8+A43*IF('Loan Inputs'!$B$14=26,14,7)))</f>
        <v>47453</v>
      </c>
      <c r="C43" s="2">
        <f t="shared" si="2"/>
        <v>616357.3353189606</v>
      </c>
      <c r="D43" s="2">
        <f>IF(A43="","",MIN('Loan Inputs'!$B$17,C43+E43)+H43)</f>
        <v>4311.533367807353</v>
      </c>
      <c r="E43" s="2">
        <f>IF(A43="","",C43*'Loan Inputs'!$B$15)</f>
        <v>3282.1028105734649</v>
      </c>
      <c r="F43" s="2">
        <f t="shared" si="0"/>
        <v>1029.4305572338881</v>
      </c>
      <c r="G43" s="2">
        <f t="shared" si="1"/>
        <v>615327.90476172674</v>
      </c>
      <c r="H43" s="2">
        <f>IF(A43="","",MIN('Loan Inputs'!$B$18,MAX(0,C43+E43-'Loan Inputs'!$B$17)))</f>
        <v>250</v>
      </c>
    </row>
    <row r="44" spans="1:8" ht="22" customHeight="1">
      <c r="A44" s="1">
        <f>IF(AND('Loan Inputs'!$B$12,38&lt;=IF('Loan Inputs'!$B$12,'Loan Inputs'!$B$7,0)*'Loan Inputs'!$B$14+5*'Loan Inputs'!$B$14,ISNUMBER(G43),G43&gt;0),38,"")</f>
        <v>38</v>
      </c>
      <c r="B44" s="4">
        <f>IF(A44="","",IF('Loan Inputs'!$B$14=12,DATE(YEAR('Loan Inputs'!$B$8),MONTH('Loan Inputs'!$B$8)+A44,DAY('Loan Inputs'!$B$8)),'Loan Inputs'!$B$8+A44*IF('Loan Inputs'!$B$14=26,14,7)))</f>
        <v>47484</v>
      </c>
      <c r="C44" s="2">
        <f t="shared" si="2"/>
        <v>615327.90476172674</v>
      </c>
      <c r="D44" s="2">
        <f>IF(A44="","",MIN('Loan Inputs'!$B$17,C44+E44)+H44)</f>
        <v>4311.533367807353</v>
      </c>
      <c r="E44" s="2">
        <f>IF(A44="","",C44*'Loan Inputs'!$B$15)</f>
        <v>3276.621092856195</v>
      </c>
      <c r="F44" s="2">
        <f t="shared" si="0"/>
        <v>1034.912274951158</v>
      </c>
      <c r="G44" s="2">
        <f t="shared" si="1"/>
        <v>614292.99248677562</v>
      </c>
      <c r="H44" s="2">
        <f>IF(A44="","",MIN('Loan Inputs'!$B$18,MAX(0,C44+E44-'Loan Inputs'!$B$17)))</f>
        <v>250</v>
      </c>
    </row>
    <row r="45" spans="1:8" ht="22" customHeight="1">
      <c r="A45" s="1">
        <f>IF(AND('Loan Inputs'!$B$12,39&lt;=IF('Loan Inputs'!$B$12,'Loan Inputs'!$B$7,0)*'Loan Inputs'!$B$14+5*'Loan Inputs'!$B$14,ISNUMBER(G44),G44&gt;0),39,"")</f>
        <v>39</v>
      </c>
      <c r="B45" s="4">
        <f>IF(A45="","",IF('Loan Inputs'!$B$14=12,DATE(YEAR('Loan Inputs'!$B$8),MONTH('Loan Inputs'!$B$8)+A45,DAY('Loan Inputs'!$B$8)),'Loan Inputs'!$B$8+A45*IF('Loan Inputs'!$B$14=26,14,7)))</f>
        <v>47515</v>
      </c>
      <c r="C45" s="2">
        <f t="shared" si="2"/>
        <v>614292.99248677562</v>
      </c>
      <c r="D45" s="2">
        <f>IF(A45="","",MIN('Loan Inputs'!$B$17,C45+E45)+H45)</f>
        <v>4311.533367807353</v>
      </c>
      <c r="E45" s="2">
        <f>IF(A45="","",C45*'Loan Inputs'!$B$15)</f>
        <v>3271.1101849920801</v>
      </c>
      <c r="F45" s="2">
        <f t="shared" si="0"/>
        <v>1040.4231828152729</v>
      </c>
      <c r="G45" s="2">
        <f t="shared" si="1"/>
        <v>613252.56930396031</v>
      </c>
      <c r="H45" s="2">
        <f>IF(A45="","",MIN('Loan Inputs'!$B$18,MAX(0,C45+E45-'Loan Inputs'!$B$17)))</f>
        <v>250</v>
      </c>
    </row>
    <row r="46" spans="1:8" ht="22" customHeight="1">
      <c r="A46" s="1">
        <f>IF(AND('Loan Inputs'!$B$12,40&lt;=IF('Loan Inputs'!$B$12,'Loan Inputs'!$B$7,0)*'Loan Inputs'!$B$14+5*'Loan Inputs'!$B$14,ISNUMBER(G45),G45&gt;0),40,"")</f>
        <v>40</v>
      </c>
      <c r="B46" s="4">
        <f>IF(A46="","",IF('Loan Inputs'!$B$14=12,DATE(YEAR('Loan Inputs'!$B$8),MONTH('Loan Inputs'!$B$8)+A46,DAY('Loan Inputs'!$B$8)),'Loan Inputs'!$B$8+A46*IF('Loan Inputs'!$B$14=26,14,7)))</f>
        <v>47543</v>
      </c>
      <c r="C46" s="2">
        <f t="shared" si="2"/>
        <v>613252.56930396031</v>
      </c>
      <c r="D46" s="2">
        <f>IF(A46="","",MIN('Loan Inputs'!$B$17,C46+E46)+H46)</f>
        <v>4311.533367807353</v>
      </c>
      <c r="E46" s="2">
        <f>IF(A46="","",C46*'Loan Inputs'!$B$15)</f>
        <v>3265.5699315435886</v>
      </c>
      <c r="F46" s="2">
        <f t="shared" si="0"/>
        <v>1045.9634362637644</v>
      </c>
      <c r="G46" s="2">
        <f t="shared" si="1"/>
        <v>612206.60586769658</v>
      </c>
      <c r="H46" s="2">
        <f>IF(A46="","",MIN('Loan Inputs'!$B$18,MAX(0,C46+E46-'Loan Inputs'!$B$17)))</f>
        <v>250</v>
      </c>
    </row>
    <row r="47" spans="1:8" ht="22" customHeight="1">
      <c r="A47" s="1">
        <f>IF(AND('Loan Inputs'!$B$12,41&lt;=IF('Loan Inputs'!$B$12,'Loan Inputs'!$B$7,0)*'Loan Inputs'!$B$14+5*'Loan Inputs'!$B$14,ISNUMBER(G46),G46&gt;0),41,"")</f>
        <v>41</v>
      </c>
      <c r="B47" s="4">
        <f>IF(A47="","",IF('Loan Inputs'!$B$14=12,DATE(YEAR('Loan Inputs'!$B$8),MONTH('Loan Inputs'!$B$8)+A47,DAY('Loan Inputs'!$B$8)),'Loan Inputs'!$B$8+A47*IF('Loan Inputs'!$B$14=26,14,7)))</f>
        <v>47574</v>
      </c>
      <c r="C47" s="2">
        <f t="shared" si="2"/>
        <v>612206.60586769658</v>
      </c>
      <c r="D47" s="2">
        <f>IF(A47="","",MIN('Loan Inputs'!$B$17,C47+E47)+H47)</f>
        <v>4311.533367807353</v>
      </c>
      <c r="E47" s="2">
        <f>IF(A47="","",C47*'Loan Inputs'!$B$15)</f>
        <v>3260.000176245484</v>
      </c>
      <c r="F47" s="2">
        <f t="shared" si="0"/>
        <v>1051.533191561869</v>
      </c>
      <c r="G47" s="2">
        <f t="shared" si="1"/>
        <v>611155.07267613476</v>
      </c>
      <c r="H47" s="2">
        <f>IF(A47="","",MIN('Loan Inputs'!$B$18,MAX(0,C47+E47-'Loan Inputs'!$B$17)))</f>
        <v>250</v>
      </c>
    </row>
    <row r="48" spans="1:8" ht="22" customHeight="1">
      <c r="A48" s="1">
        <f>IF(AND('Loan Inputs'!$B$12,42&lt;=IF('Loan Inputs'!$B$12,'Loan Inputs'!$B$7,0)*'Loan Inputs'!$B$14+5*'Loan Inputs'!$B$14,ISNUMBER(G47),G47&gt;0),42,"")</f>
        <v>42</v>
      </c>
      <c r="B48" s="4">
        <f>IF(A48="","",IF('Loan Inputs'!$B$14=12,DATE(YEAR('Loan Inputs'!$B$8),MONTH('Loan Inputs'!$B$8)+A48,DAY('Loan Inputs'!$B$8)),'Loan Inputs'!$B$8+A48*IF('Loan Inputs'!$B$14=26,14,7)))</f>
        <v>47604</v>
      </c>
      <c r="C48" s="2">
        <f t="shared" si="2"/>
        <v>611155.07267613476</v>
      </c>
      <c r="D48" s="2">
        <f>IF(A48="","",MIN('Loan Inputs'!$B$17,C48+E48)+H48)</f>
        <v>4311.533367807353</v>
      </c>
      <c r="E48" s="2">
        <f>IF(A48="","",C48*'Loan Inputs'!$B$15)</f>
        <v>3254.4007620004177</v>
      </c>
      <c r="F48" s="2">
        <f t="shared" si="0"/>
        <v>1057.1326058069353</v>
      </c>
      <c r="G48" s="2">
        <f t="shared" si="1"/>
        <v>610097.94007032784</v>
      </c>
      <c r="H48" s="2">
        <f>IF(A48="","",MIN('Loan Inputs'!$B$18,MAX(0,C48+E48-'Loan Inputs'!$B$17)))</f>
        <v>250</v>
      </c>
    </row>
    <row r="49" spans="1:8" ht="22" customHeight="1">
      <c r="A49" s="1">
        <f>IF(AND('Loan Inputs'!$B$12,43&lt;=IF('Loan Inputs'!$B$12,'Loan Inputs'!$B$7,0)*'Loan Inputs'!$B$14+5*'Loan Inputs'!$B$14,ISNUMBER(G48),G48&gt;0),43,"")</f>
        <v>43</v>
      </c>
      <c r="B49" s="4">
        <f>IF(A49="","",IF('Loan Inputs'!$B$14=12,DATE(YEAR('Loan Inputs'!$B$8),MONTH('Loan Inputs'!$B$8)+A49,DAY('Loan Inputs'!$B$8)),'Loan Inputs'!$B$8+A49*IF('Loan Inputs'!$B$14=26,14,7)))</f>
        <v>47635</v>
      </c>
      <c r="C49" s="2">
        <f t="shared" si="2"/>
        <v>610097.94007032784</v>
      </c>
      <c r="D49" s="2">
        <f>IF(A49="","",MIN('Loan Inputs'!$B$17,C49+E49)+H49)</f>
        <v>4311.533367807353</v>
      </c>
      <c r="E49" s="2">
        <f>IF(A49="","",C49*'Loan Inputs'!$B$15)</f>
        <v>3248.7715308744955</v>
      </c>
      <c r="F49" s="2">
        <f t="shared" si="0"/>
        <v>1062.7618369328575</v>
      </c>
      <c r="G49" s="2">
        <f t="shared" si="1"/>
        <v>609035.17823339498</v>
      </c>
      <c r="H49" s="2">
        <f>IF(A49="","",MIN('Loan Inputs'!$B$18,MAX(0,C49+E49-'Loan Inputs'!$B$17)))</f>
        <v>250</v>
      </c>
    </row>
    <row r="50" spans="1:8" ht="22" customHeight="1">
      <c r="A50" s="1">
        <f>IF(AND('Loan Inputs'!$B$12,44&lt;=IF('Loan Inputs'!$B$12,'Loan Inputs'!$B$7,0)*'Loan Inputs'!$B$14+5*'Loan Inputs'!$B$14,ISNUMBER(G49),G49&gt;0),44,"")</f>
        <v>44</v>
      </c>
      <c r="B50" s="4">
        <f>IF(A50="","",IF('Loan Inputs'!$B$14=12,DATE(YEAR('Loan Inputs'!$B$8),MONTH('Loan Inputs'!$B$8)+A50,DAY('Loan Inputs'!$B$8)),'Loan Inputs'!$B$8+A50*IF('Loan Inputs'!$B$14=26,14,7)))</f>
        <v>47665</v>
      </c>
      <c r="C50" s="2">
        <f t="shared" si="2"/>
        <v>609035.17823339498</v>
      </c>
      <c r="D50" s="2">
        <f>IF(A50="","",MIN('Loan Inputs'!$B$17,C50+E50)+H50)</f>
        <v>4311.533367807353</v>
      </c>
      <c r="E50" s="2">
        <f>IF(A50="","",C50*'Loan Inputs'!$B$15)</f>
        <v>3243.1123240928282</v>
      </c>
      <c r="F50" s="2">
        <f t="shared" si="0"/>
        <v>1068.4210437145248</v>
      </c>
      <c r="G50" s="2">
        <f t="shared" si="1"/>
        <v>607966.75718968047</v>
      </c>
      <c r="H50" s="2">
        <f>IF(A50="","",MIN('Loan Inputs'!$B$18,MAX(0,C50+E50-'Loan Inputs'!$B$17)))</f>
        <v>250</v>
      </c>
    </row>
    <row r="51" spans="1:8" ht="22" customHeight="1">
      <c r="A51" s="1">
        <f>IF(AND('Loan Inputs'!$B$12,45&lt;=IF('Loan Inputs'!$B$12,'Loan Inputs'!$B$7,0)*'Loan Inputs'!$B$14+5*'Loan Inputs'!$B$14,ISNUMBER(G50),G50&gt;0),45,"")</f>
        <v>45</v>
      </c>
      <c r="B51" s="4">
        <f>IF(A51="","",IF('Loan Inputs'!$B$14=12,DATE(YEAR('Loan Inputs'!$B$8),MONTH('Loan Inputs'!$B$8)+A51,DAY('Loan Inputs'!$B$8)),'Loan Inputs'!$B$8+A51*IF('Loan Inputs'!$B$14=26,14,7)))</f>
        <v>47696</v>
      </c>
      <c r="C51" s="2">
        <f t="shared" si="2"/>
        <v>607966.75718968047</v>
      </c>
      <c r="D51" s="2">
        <f>IF(A51="","",MIN('Loan Inputs'!$B$17,C51+E51)+H51)</f>
        <v>4311.533367807353</v>
      </c>
      <c r="E51" s="2">
        <f>IF(A51="","",C51*'Loan Inputs'!$B$15)</f>
        <v>3237.4229820350483</v>
      </c>
      <c r="F51" s="2">
        <f t="shared" si="0"/>
        <v>1074.1103857723047</v>
      </c>
      <c r="G51" s="2">
        <f t="shared" si="1"/>
        <v>606892.64680390817</v>
      </c>
      <c r="H51" s="2">
        <f>IF(A51="","",MIN('Loan Inputs'!$B$18,MAX(0,C51+E51-'Loan Inputs'!$B$17)))</f>
        <v>250</v>
      </c>
    </row>
    <row r="52" spans="1:8" ht="22" customHeight="1">
      <c r="A52" s="1">
        <f>IF(AND('Loan Inputs'!$B$12,46&lt;=IF('Loan Inputs'!$B$12,'Loan Inputs'!$B$7,0)*'Loan Inputs'!$B$14+5*'Loan Inputs'!$B$14,ISNUMBER(G51),G51&gt;0),46,"")</f>
        <v>46</v>
      </c>
      <c r="B52" s="4">
        <f>IF(A52="","",IF('Loan Inputs'!$B$14=12,DATE(YEAR('Loan Inputs'!$B$8),MONTH('Loan Inputs'!$B$8)+A52,DAY('Loan Inputs'!$B$8)),'Loan Inputs'!$B$8+A52*IF('Loan Inputs'!$B$14=26,14,7)))</f>
        <v>47727</v>
      </c>
      <c r="C52" s="2">
        <f t="shared" si="2"/>
        <v>606892.64680390817</v>
      </c>
      <c r="D52" s="2">
        <f>IF(A52="","",MIN('Loan Inputs'!$B$17,C52+E52)+H52)</f>
        <v>4311.533367807353</v>
      </c>
      <c r="E52" s="2">
        <f>IF(A52="","",C52*'Loan Inputs'!$B$15)</f>
        <v>3231.7033442308111</v>
      </c>
      <c r="F52" s="2">
        <f t="shared" si="0"/>
        <v>1079.8300235765419</v>
      </c>
      <c r="G52" s="2">
        <f t="shared" si="1"/>
        <v>605812.81678033166</v>
      </c>
      <c r="H52" s="2">
        <f>IF(A52="","",MIN('Loan Inputs'!$B$18,MAX(0,C52+E52-'Loan Inputs'!$B$17)))</f>
        <v>250</v>
      </c>
    </row>
    <row r="53" spans="1:8" ht="22" customHeight="1">
      <c r="A53" s="1">
        <f>IF(AND('Loan Inputs'!$B$12,47&lt;=IF('Loan Inputs'!$B$12,'Loan Inputs'!$B$7,0)*'Loan Inputs'!$B$14+5*'Loan Inputs'!$B$14,ISNUMBER(G52),G52&gt;0),47,"")</f>
        <v>47</v>
      </c>
      <c r="B53" s="4">
        <f>IF(A53="","",IF('Loan Inputs'!$B$14=12,DATE(YEAR('Loan Inputs'!$B$8),MONTH('Loan Inputs'!$B$8)+A53,DAY('Loan Inputs'!$B$8)),'Loan Inputs'!$B$8+A53*IF('Loan Inputs'!$B$14=26,14,7)))</f>
        <v>47757</v>
      </c>
      <c r="C53" s="2">
        <f t="shared" si="2"/>
        <v>605812.81678033166</v>
      </c>
      <c r="D53" s="2">
        <f>IF(A53="","",MIN('Loan Inputs'!$B$17,C53+E53)+H53)</f>
        <v>4311.533367807353</v>
      </c>
      <c r="E53" s="2">
        <f>IF(A53="","",C53*'Loan Inputs'!$B$15)</f>
        <v>3225.9532493552661</v>
      </c>
      <c r="F53" s="2">
        <f t="shared" si="0"/>
        <v>1085.5801184520869</v>
      </c>
      <c r="G53" s="2">
        <f t="shared" si="1"/>
        <v>604727.23666187958</v>
      </c>
      <c r="H53" s="2">
        <f>IF(A53="","",MIN('Loan Inputs'!$B$18,MAX(0,C53+E53-'Loan Inputs'!$B$17)))</f>
        <v>250</v>
      </c>
    </row>
    <row r="54" spans="1:8" ht="22" customHeight="1">
      <c r="A54" s="1">
        <f>IF(AND('Loan Inputs'!$B$12,48&lt;=IF('Loan Inputs'!$B$12,'Loan Inputs'!$B$7,0)*'Loan Inputs'!$B$14+5*'Loan Inputs'!$B$14,ISNUMBER(G53),G53&gt;0),48,"")</f>
        <v>48</v>
      </c>
      <c r="B54" s="4">
        <f>IF(A54="","",IF('Loan Inputs'!$B$14=12,DATE(YEAR('Loan Inputs'!$B$8),MONTH('Loan Inputs'!$B$8)+A54,DAY('Loan Inputs'!$B$8)),'Loan Inputs'!$B$8+A54*IF('Loan Inputs'!$B$14=26,14,7)))</f>
        <v>47788</v>
      </c>
      <c r="C54" s="2">
        <f t="shared" si="2"/>
        <v>604727.23666187958</v>
      </c>
      <c r="D54" s="2">
        <f>IF(A54="","",MIN('Loan Inputs'!$B$17,C54+E54)+H54)</f>
        <v>4311.533367807353</v>
      </c>
      <c r="E54" s="2">
        <f>IF(A54="","",C54*'Loan Inputs'!$B$15)</f>
        <v>3220.1725352245085</v>
      </c>
      <c r="F54" s="2">
        <f t="shared" si="0"/>
        <v>1091.3608325828445</v>
      </c>
      <c r="G54" s="2">
        <f t="shared" si="1"/>
        <v>603635.87582929677</v>
      </c>
      <c r="H54" s="2">
        <f>IF(A54="","",MIN('Loan Inputs'!$B$18,MAX(0,C54+E54-'Loan Inputs'!$B$17)))</f>
        <v>250</v>
      </c>
    </row>
    <row r="55" spans="1:8" ht="22" customHeight="1">
      <c r="A55" s="1">
        <f>IF(AND('Loan Inputs'!$B$12,49&lt;=IF('Loan Inputs'!$B$12,'Loan Inputs'!$B$7,0)*'Loan Inputs'!$B$14+5*'Loan Inputs'!$B$14,ISNUMBER(G54),G54&gt;0),49,"")</f>
        <v>49</v>
      </c>
      <c r="B55" s="4">
        <f>IF(A55="","",IF('Loan Inputs'!$B$14=12,DATE(YEAR('Loan Inputs'!$B$8),MONTH('Loan Inputs'!$B$8)+A55,DAY('Loan Inputs'!$B$8)),'Loan Inputs'!$B$8+A55*IF('Loan Inputs'!$B$14=26,14,7)))</f>
        <v>47818</v>
      </c>
      <c r="C55" s="2">
        <f t="shared" si="2"/>
        <v>603635.87582929677</v>
      </c>
      <c r="D55" s="2">
        <f>IF(A55="","",MIN('Loan Inputs'!$B$17,C55+E55)+H55)</f>
        <v>4311.533367807353</v>
      </c>
      <c r="E55" s="2">
        <f>IF(A55="","",C55*'Loan Inputs'!$B$15)</f>
        <v>3214.3610387910053</v>
      </c>
      <c r="F55" s="2">
        <f t="shared" si="0"/>
        <v>1097.1723290163477</v>
      </c>
      <c r="G55" s="2">
        <f t="shared" si="1"/>
        <v>602538.70350028039</v>
      </c>
      <c r="H55" s="2">
        <f>IF(A55="","",MIN('Loan Inputs'!$B$18,MAX(0,C55+E55-'Loan Inputs'!$B$17)))</f>
        <v>250</v>
      </c>
    </row>
    <row r="56" spans="1:8" ht="22" customHeight="1">
      <c r="A56" s="1">
        <f>IF(AND('Loan Inputs'!$B$12,50&lt;=IF('Loan Inputs'!$B$12,'Loan Inputs'!$B$7,0)*'Loan Inputs'!$B$14+5*'Loan Inputs'!$B$14,ISNUMBER(G55),G55&gt;0),50,"")</f>
        <v>50</v>
      </c>
      <c r="B56" s="4">
        <f>IF(A56="","",IF('Loan Inputs'!$B$14=12,DATE(YEAR('Loan Inputs'!$B$8),MONTH('Loan Inputs'!$B$8)+A56,DAY('Loan Inputs'!$B$8)),'Loan Inputs'!$B$8+A56*IF('Loan Inputs'!$B$14=26,14,7)))</f>
        <v>47849</v>
      </c>
      <c r="C56" s="2">
        <f t="shared" si="2"/>
        <v>602538.70350028039</v>
      </c>
      <c r="D56" s="2">
        <f>IF(A56="","",MIN('Loan Inputs'!$B$17,C56+E56)+H56)</f>
        <v>4311.533367807353</v>
      </c>
      <c r="E56" s="2">
        <f>IF(A56="","",C56*'Loan Inputs'!$B$15)</f>
        <v>3208.518596138993</v>
      </c>
      <c r="F56" s="2">
        <f t="shared" si="0"/>
        <v>1103.01477166836</v>
      </c>
      <c r="G56" s="2">
        <f t="shared" si="1"/>
        <v>601435.68872861203</v>
      </c>
      <c r="H56" s="2">
        <f>IF(A56="","",MIN('Loan Inputs'!$B$18,MAX(0,C56+E56-'Loan Inputs'!$B$17)))</f>
        <v>250</v>
      </c>
    </row>
    <row r="57" spans="1:8" ht="22" customHeight="1">
      <c r="A57" s="1">
        <f>IF(AND('Loan Inputs'!$B$12,51&lt;=IF('Loan Inputs'!$B$12,'Loan Inputs'!$B$7,0)*'Loan Inputs'!$B$14+5*'Loan Inputs'!$B$14,ISNUMBER(G56),G56&gt;0),51,"")</f>
        <v>51</v>
      </c>
      <c r="B57" s="4">
        <f>IF(A57="","",IF('Loan Inputs'!$B$14=12,DATE(YEAR('Loan Inputs'!$B$8),MONTH('Loan Inputs'!$B$8)+A57,DAY('Loan Inputs'!$B$8)),'Loan Inputs'!$B$8+A57*IF('Loan Inputs'!$B$14=26,14,7)))</f>
        <v>47880</v>
      </c>
      <c r="C57" s="2">
        <f t="shared" si="2"/>
        <v>601435.68872861203</v>
      </c>
      <c r="D57" s="2">
        <f>IF(A57="","",MIN('Loan Inputs'!$B$17,C57+E57)+H57)</f>
        <v>4311.533367807353</v>
      </c>
      <c r="E57" s="2">
        <f>IF(A57="","",C57*'Loan Inputs'!$B$15)</f>
        <v>3202.6450424798591</v>
      </c>
      <c r="F57" s="2">
        <f t="shared" si="0"/>
        <v>1108.8883253274939</v>
      </c>
      <c r="G57" s="2">
        <f t="shared" si="1"/>
        <v>600326.80040328449</v>
      </c>
      <c r="H57" s="2">
        <f>IF(A57="","",MIN('Loan Inputs'!$B$18,MAX(0,C57+E57-'Loan Inputs'!$B$17)))</f>
        <v>250</v>
      </c>
    </row>
    <row r="58" spans="1:8" ht="22" customHeight="1">
      <c r="A58" s="1">
        <f>IF(AND('Loan Inputs'!$B$12,52&lt;=IF('Loan Inputs'!$B$12,'Loan Inputs'!$B$7,0)*'Loan Inputs'!$B$14+5*'Loan Inputs'!$B$14,ISNUMBER(G57),G57&gt;0),52,"")</f>
        <v>52</v>
      </c>
      <c r="B58" s="4">
        <f>IF(A58="","",IF('Loan Inputs'!$B$14=12,DATE(YEAR('Loan Inputs'!$B$8),MONTH('Loan Inputs'!$B$8)+A58,DAY('Loan Inputs'!$B$8)),'Loan Inputs'!$B$8+A58*IF('Loan Inputs'!$B$14=26,14,7)))</f>
        <v>47908</v>
      </c>
      <c r="C58" s="2">
        <f t="shared" si="2"/>
        <v>600326.80040328449</v>
      </c>
      <c r="D58" s="2">
        <f>IF(A58="","",MIN('Loan Inputs'!$B$17,C58+E58)+H58)</f>
        <v>4311.533367807353</v>
      </c>
      <c r="E58" s="2">
        <f>IF(A58="","",C58*'Loan Inputs'!$B$15)</f>
        <v>3196.7402121474897</v>
      </c>
      <c r="F58" s="2">
        <f t="shared" si="0"/>
        <v>1114.7931556598633</v>
      </c>
      <c r="G58" s="2">
        <f t="shared" si="1"/>
        <v>599212.00724762469</v>
      </c>
      <c r="H58" s="2">
        <f>IF(A58="","",MIN('Loan Inputs'!$B$18,MAX(0,C58+E58-'Loan Inputs'!$B$17)))</f>
        <v>250</v>
      </c>
    </row>
    <row r="59" spans="1:8" ht="22" customHeight="1">
      <c r="A59" s="1">
        <f>IF(AND('Loan Inputs'!$B$12,53&lt;=IF('Loan Inputs'!$B$12,'Loan Inputs'!$B$7,0)*'Loan Inputs'!$B$14+5*'Loan Inputs'!$B$14,ISNUMBER(G58),G58&gt;0),53,"")</f>
        <v>53</v>
      </c>
      <c r="B59" s="4">
        <f>IF(A59="","",IF('Loan Inputs'!$B$14=12,DATE(YEAR('Loan Inputs'!$B$8),MONTH('Loan Inputs'!$B$8)+A59,DAY('Loan Inputs'!$B$8)),'Loan Inputs'!$B$8+A59*IF('Loan Inputs'!$B$14=26,14,7)))</f>
        <v>47939</v>
      </c>
      <c r="C59" s="2">
        <f t="shared" si="2"/>
        <v>599212.00724762469</v>
      </c>
      <c r="D59" s="2">
        <f>IF(A59="","",MIN('Loan Inputs'!$B$17,C59+E59)+H59)</f>
        <v>4311.533367807353</v>
      </c>
      <c r="E59" s="2">
        <f>IF(A59="","",C59*'Loan Inputs'!$B$15)</f>
        <v>3190.8039385936013</v>
      </c>
      <c r="F59" s="2">
        <f t="shared" si="0"/>
        <v>1120.7294292137517</v>
      </c>
      <c r="G59" s="2">
        <f t="shared" si="1"/>
        <v>598091.27781841089</v>
      </c>
      <c r="H59" s="2">
        <f>IF(A59="","",MIN('Loan Inputs'!$B$18,MAX(0,C59+E59-'Loan Inputs'!$B$17)))</f>
        <v>250</v>
      </c>
    </row>
    <row r="60" spans="1:8" ht="22" customHeight="1">
      <c r="A60" s="1">
        <f>IF(AND('Loan Inputs'!$B$12,54&lt;=IF('Loan Inputs'!$B$12,'Loan Inputs'!$B$7,0)*'Loan Inputs'!$B$14+5*'Loan Inputs'!$B$14,ISNUMBER(G59),G59&gt;0),54,"")</f>
        <v>54</v>
      </c>
      <c r="B60" s="4">
        <f>IF(A60="","",IF('Loan Inputs'!$B$14=12,DATE(YEAR('Loan Inputs'!$B$8),MONTH('Loan Inputs'!$B$8)+A60,DAY('Loan Inputs'!$B$8)),'Loan Inputs'!$B$8+A60*IF('Loan Inputs'!$B$14=26,14,7)))</f>
        <v>47969</v>
      </c>
      <c r="C60" s="2">
        <f t="shared" si="2"/>
        <v>598091.27781841089</v>
      </c>
      <c r="D60" s="2">
        <f>IF(A60="","",MIN('Loan Inputs'!$B$17,C60+E60)+H60)</f>
        <v>4311.533367807353</v>
      </c>
      <c r="E60" s="2">
        <f>IF(A60="","",C60*'Loan Inputs'!$B$15)</f>
        <v>3184.8360543830381</v>
      </c>
      <c r="F60" s="2">
        <f t="shared" si="0"/>
        <v>1126.6973134243149</v>
      </c>
      <c r="G60" s="2">
        <f t="shared" si="1"/>
        <v>596964.58050498657</v>
      </c>
      <c r="H60" s="2">
        <f>IF(A60="","",MIN('Loan Inputs'!$B$18,MAX(0,C60+E60-'Loan Inputs'!$B$17)))</f>
        <v>250</v>
      </c>
    </row>
    <row r="61" spans="1:8" ht="22" customHeight="1">
      <c r="A61" s="1">
        <f>IF(AND('Loan Inputs'!$B$12,55&lt;=IF('Loan Inputs'!$B$12,'Loan Inputs'!$B$7,0)*'Loan Inputs'!$B$14+5*'Loan Inputs'!$B$14,ISNUMBER(G60),G60&gt;0),55,"")</f>
        <v>55</v>
      </c>
      <c r="B61" s="4">
        <f>IF(A61="","",IF('Loan Inputs'!$B$14=12,DATE(YEAR('Loan Inputs'!$B$8),MONTH('Loan Inputs'!$B$8)+A61,DAY('Loan Inputs'!$B$8)),'Loan Inputs'!$B$8+A61*IF('Loan Inputs'!$B$14=26,14,7)))</f>
        <v>48000</v>
      </c>
      <c r="C61" s="2">
        <f t="shared" si="2"/>
        <v>596964.58050498657</v>
      </c>
      <c r="D61" s="2">
        <f>IF(A61="","",MIN('Loan Inputs'!$B$17,C61+E61)+H61)</f>
        <v>4311.533367807353</v>
      </c>
      <c r="E61" s="2">
        <f>IF(A61="","",C61*'Loan Inputs'!$B$15)</f>
        <v>3178.8363911890533</v>
      </c>
      <c r="F61" s="2">
        <f t="shared" si="0"/>
        <v>1132.6969766182997</v>
      </c>
      <c r="G61" s="2">
        <f t="shared" si="1"/>
        <v>595831.88352836831</v>
      </c>
      <c r="H61" s="2">
        <f>IF(A61="","",MIN('Loan Inputs'!$B$18,MAX(0,C61+E61-'Loan Inputs'!$B$17)))</f>
        <v>250</v>
      </c>
    </row>
    <row r="62" spans="1:8" ht="22" customHeight="1">
      <c r="A62" s="1">
        <f>IF(AND('Loan Inputs'!$B$12,56&lt;=IF('Loan Inputs'!$B$12,'Loan Inputs'!$B$7,0)*'Loan Inputs'!$B$14+5*'Loan Inputs'!$B$14,ISNUMBER(G61),G61&gt;0),56,"")</f>
        <v>56</v>
      </c>
      <c r="B62" s="4">
        <f>IF(A62="","",IF('Loan Inputs'!$B$14=12,DATE(YEAR('Loan Inputs'!$B$8),MONTH('Loan Inputs'!$B$8)+A62,DAY('Loan Inputs'!$B$8)),'Loan Inputs'!$B$8+A62*IF('Loan Inputs'!$B$14=26,14,7)))</f>
        <v>48030</v>
      </c>
      <c r="C62" s="2">
        <f t="shared" si="2"/>
        <v>595831.88352836831</v>
      </c>
      <c r="D62" s="2">
        <f>IF(A62="","",MIN('Loan Inputs'!$B$17,C62+E62)+H62)</f>
        <v>4311.533367807353</v>
      </c>
      <c r="E62" s="2">
        <f>IF(A62="","",C62*'Loan Inputs'!$B$15)</f>
        <v>3172.8047797885611</v>
      </c>
      <c r="F62" s="2">
        <f t="shared" si="0"/>
        <v>1138.7285880187919</v>
      </c>
      <c r="G62" s="2">
        <f t="shared" si="1"/>
        <v>594693.15494034952</v>
      </c>
      <c r="H62" s="2">
        <f>IF(A62="","",MIN('Loan Inputs'!$B$18,MAX(0,C62+E62-'Loan Inputs'!$B$17)))</f>
        <v>250</v>
      </c>
    </row>
    <row r="63" spans="1:8" ht="22" customHeight="1">
      <c r="A63" s="1">
        <f>IF(AND('Loan Inputs'!$B$12,57&lt;=IF('Loan Inputs'!$B$12,'Loan Inputs'!$B$7,0)*'Loan Inputs'!$B$14+5*'Loan Inputs'!$B$14,ISNUMBER(G62),G62&gt;0),57,"")</f>
        <v>57</v>
      </c>
      <c r="B63" s="4">
        <f>IF(A63="","",IF('Loan Inputs'!$B$14=12,DATE(YEAR('Loan Inputs'!$B$8),MONTH('Loan Inputs'!$B$8)+A63,DAY('Loan Inputs'!$B$8)),'Loan Inputs'!$B$8+A63*IF('Loan Inputs'!$B$14=26,14,7)))</f>
        <v>48061</v>
      </c>
      <c r="C63" s="2">
        <f t="shared" si="2"/>
        <v>594693.15494034952</v>
      </c>
      <c r="D63" s="2">
        <f>IF(A63="","",MIN('Loan Inputs'!$B$17,C63+E63)+H63)</f>
        <v>4311.533367807353</v>
      </c>
      <c r="E63" s="2">
        <f>IF(A63="","",C63*'Loan Inputs'!$B$15)</f>
        <v>3166.741050057361</v>
      </c>
      <c r="F63" s="2">
        <f t="shared" si="0"/>
        <v>1144.792317749992</v>
      </c>
      <c r="G63" s="2">
        <f t="shared" si="1"/>
        <v>593548.36262259947</v>
      </c>
      <c r="H63" s="2">
        <f>IF(A63="","",MIN('Loan Inputs'!$B$18,MAX(0,C63+E63-'Loan Inputs'!$B$17)))</f>
        <v>250</v>
      </c>
    </row>
    <row r="64" spans="1:8" ht="22" customHeight="1">
      <c r="A64" s="1">
        <f>IF(AND('Loan Inputs'!$B$12,58&lt;=IF('Loan Inputs'!$B$12,'Loan Inputs'!$B$7,0)*'Loan Inputs'!$B$14+5*'Loan Inputs'!$B$14,ISNUMBER(G63),G63&gt;0),58,"")</f>
        <v>58</v>
      </c>
      <c r="B64" s="4">
        <f>IF(A64="","",IF('Loan Inputs'!$B$14=12,DATE(YEAR('Loan Inputs'!$B$8),MONTH('Loan Inputs'!$B$8)+A64,DAY('Loan Inputs'!$B$8)),'Loan Inputs'!$B$8+A64*IF('Loan Inputs'!$B$14=26,14,7)))</f>
        <v>48092</v>
      </c>
      <c r="C64" s="2">
        <f t="shared" si="2"/>
        <v>593548.36262259947</v>
      </c>
      <c r="D64" s="2">
        <f>IF(A64="","",MIN('Loan Inputs'!$B$17,C64+E64)+H64)</f>
        <v>4311.533367807353</v>
      </c>
      <c r="E64" s="2">
        <f>IF(A64="","",C64*'Loan Inputs'!$B$15)</f>
        <v>3160.6450309653419</v>
      </c>
      <c r="F64" s="2">
        <f t="shared" si="0"/>
        <v>1150.8883368420111</v>
      </c>
      <c r="G64" s="2">
        <f t="shared" si="1"/>
        <v>592397.4742857574</v>
      </c>
      <c r="H64" s="2">
        <f>IF(A64="","",MIN('Loan Inputs'!$B$18,MAX(0,C64+E64-'Loan Inputs'!$B$17)))</f>
        <v>250</v>
      </c>
    </row>
    <row r="65" spans="1:8" ht="22" customHeight="1">
      <c r="A65" s="1">
        <f>IF(AND('Loan Inputs'!$B$12,59&lt;=IF('Loan Inputs'!$B$12,'Loan Inputs'!$B$7,0)*'Loan Inputs'!$B$14+5*'Loan Inputs'!$B$14,ISNUMBER(G64),G64&gt;0),59,"")</f>
        <v>59</v>
      </c>
      <c r="B65" s="4">
        <f>IF(A65="","",IF('Loan Inputs'!$B$14=12,DATE(YEAR('Loan Inputs'!$B$8),MONTH('Loan Inputs'!$B$8)+A65,DAY('Loan Inputs'!$B$8)),'Loan Inputs'!$B$8+A65*IF('Loan Inputs'!$B$14=26,14,7)))</f>
        <v>48122</v>
      </c>
      <c r="C65" s="2">
        <f t="shared" si="2"/>
        <v>592397.4742857574</v>
      </c>
      <c r="D65" s="2">
        <f>IF(A65="","",MIN('Loan Inputs'!$B$17,C65+E65)+H65)</f>
        <v>4311.533367807353</v>
      </c>
      <c r="E65" s="2">
        <f>IF(A65="","",C65*'Loan Inputs'!$B$15)</f>
        <v>3154.5165505716582</v>
      </c>
      <c r="F65" s="2">
        <f t="shared" si="0"/>
        <v>1157.0168172356948</v>
      </c>
      <c r="G65" s="2">
        <f t="shared" si="1"/>
        <v>591240.45746852166</v>
      </c>
      <c r="H65" s="2">
        <f>IF(A65="","",MIN('Loan Inputs'!$B$18,MAX(0,C65+E65-'Loan Inputs'!$B$17)))</f>
        <v>250</v>
      </c>
    </row>
    <row r="66" spans="1:8" ht="22" customHeight="1">
      <c r="A66" s="1">
        <f>IF(AND('Loan Inputs'!$B$12,60&lt;=IF('Loan Inputs'!$B$12,'Loan Inputs'!$B$7,0)*'Loan Inputs'!$B$14+5*'Loan Inputs'!$B$14,ISNUMBER(G65),G65&gt;0),60,"")</f>
        <v>60</v>
      </c>
      <c r="B66" s="4">
        <f>IF(A66="","",IF('Loan Inputs'!$B$14=12,DATE(YEAR('Loan Inputs'!$B$8),MONTH('Loan Inputs'!$B$8)+A66,DAY('Loan Inputs'!$B$8)),'Loan Inputs'!$B$8+A66*IF('Loan Inputs'!$B$14=26,14,7)))</f>
        <v>48153</v>
      </c>
      <c r="C66" s="2">
        <f t="shared" si="2"/>
        <v>591240.45746852166</v>
      </c>
      <c r="D66" s="2">
        <f>IF(A66="","",MIN('Loan Inputs'!$B$17,C66+E66)+H66)</f>
        <v>4311.533367807353</v>
      </c>
      <c r="E66" s="2">
        <f>IF(A66="","",C66*'Loan Inputs'!$B$15)</f>
        <v>3148.3554360198777</v>
      </c>
      <c r="F66" s="2">
        <f t="shared" si="0"/>
        <v>1163.1779317874752</v>
      </c>
      <c r="G66" s="2">
        <f t="shared" si="1"/>
        <v>590077.27953673422</v>
      </c>
      <c r="H66" s="2">
        <f>IF(A66="","",MIN('Loan Inputs'!$B$18,MAX(0,C66+E66-'Loan Inputs'!$B$17)))</f>
        <v>250</v>
      </c>
    </row>
    <row r="67" spans="1:8" ht="22" customHeight="1">
      <c r="A67" s="1">
        <f>IF(AND('Loan Inputs'!$B$12,61&lt;=IF('Loan Inputs'!$B$12,'Loan Inputs'!$B$7,0)*'Loan Inputs'!$B$14+5*'Loan Inputs'!$B$14,ISNUMBER(G66),G66&gt;0),61,"")</f>
        <v>61</v>
      </c>
      <c r="B67" s="4">
        <f>IF(A67="","",IF('Loan Inputs'!$B$14=12,DATE(YEAR('Loan Inputs'!$B$8),MONTH('Loan Inputs'!$B$8)+A67,DAY('Loan Inputs'!$B$8)),'Loan Inputs'!$B$8+A67*IF('Loan Inputs'!$B$14=26,14,7)))</f>
        <v>48183</v>
      </c>
      <c r="C67" s="2">
        <f t="shared" si="2"/>
        <v>590077.27953673422</v>
      </c>
      <c r="D67" s="2">
        <f>IF(A67="","",MIN('Loan Inputs'!$B$17,C67+E67)+H67)</f>
        <v>4311.533367807353</v>
      </c>
      <c r="E67" s="2">
        <f>IF(A67="","",C67*'Loan Inputs'!$B$15)</f>
        <v>3142.1615135331094</v>
      </c>
      <c r="F67" s="2">
        <f t="shared" si="0"/>
        <v>1169.3718542742436</v>
      </c>
      <c r="G67" s="2">
        <f t="shared" si="1"/>
        <v>588907.90768245992</v>
      </c>
      <c r="H67" s="2">
        <f>IF(A67="","",MIN('Loan Inputs'!$B$18,MAX(0,C67+E67-'Loan Inputs'!$B$17)))</f>
        <v>250</v>
      </c>
    </row>
    <row r="68" spans="1:8" ht="22" customHeight="1">
      <c r="A68" s="1">
        <f>IF(AND('Loan Inputs'!$B$12,62&lt;=IF('Loan Inputs'!$B$12,'Loan Inputs'!$B$7,0)*'Loan Inputs'!$B$14+5*'Loan Inputs'!$B$14,ISNUMBER(G67),G67&gt;0),62,"")</f>
        <v>62</v>
      </c>
      <c r="B68" s="4">
        <f>IF(A68="","",IF('Loan Inputs'!$B$14=12,DATE(YEAR('Loan Inputs'!$B$8),MONTH('Loan Inputs'!$B$8)+A68,DAY('Loan Inputs'!$B$8)),'Loan Inputs'!$B$8+A68*IF('Loan Inputs'!$B$14=26,14,7)))</f>
        <v>48214</v>
      </c>
      <c r="C68" s="2">
        <f t="shared" si="2"/>
        <v>588907.90768245992</v>
      </c>
      <c r="D68" s="2">
        <f>IF(A68="","",MIN('Loan Inputs'!$B$17,C68+E68)+H68)</f>
        <v>4311.533367807353</v>
      </c>
      <c r="E68" s="2">
        <f>IF(A68="","",C68*'Loan Inputs'!$B$15)</f>
        <v>3135.9346084090989</v>
      </c>
      <c r="F68" s="2">
        <f t="shared" si="0"/>
        <v>1175.5987593982541</v>
      </c>
      <c r="G68" s="2">
        <f t="shared" si="1"/>
        <v>587732.3089230617</v>
      </c>
      <c r="H68" s="2">
        <f>IF(A68="","",MIN('Loan Inputs'!$B$18,MAX(0,C68+E68-'Loan Inputs'!$B$17)))</f>
        <v>250</v>
      </c>
    </row>
    <row r="69" spans="1:8" ht="22" customHeight="1">
      <c r="A69" s="1">
        <f>IF(AND('Loan Inputs'!$B$12,63&lt;=IF('Loan Inputs'!$B$12,'Loan Inputs'!$B$7,0)*'Loan Inputs'!$B$14+5*'Loan Inputs'!$B$14,ISNUMBER(G68),G68&gt;0),63,"")</f>
        <v>63</v>
      </c>
      <c r="B69" s="4">
        <f>IF(A69="","",IF('Loan Inputs'!$B$14=12,DATE(YEAR('Loan Inputs'!$B$8),MONTH('Loan Inputs'!$B$8)+A69,DAY('Loan Inputs'!$B$8)),'Loan Inputs'!$B$8+A69*IF('Loan Inputs'!$B$14=26,14,7)))</f>
        <v>48245</v>
      </c>
      <c r="C69" s="2">
        <f t="shared" si="2"/>
        <v>587732.3089230617</v>
      </c>
      <c r="D69" s="2">
        <f>IF(A69="","",MIN('Loan Inputs'!$B$17,C69+E69)+H69)</f>
        <v>4311.533367807353</v>
      </c>
      <c r="E69" s="2">
        <f>IF(A69="","",C69*'Loan Inputs'!$B$15)</f>
        <v>3129.6745450153035</v>
      </c>
      <c r="F69" s="2">
        <f t="shared" si="0"/>
        <v>1181.8588227920495</v>
      </c>
      <c r="G69" s="2">
        <f t="shared" si="1"/>
        <v>586550.45010026963</v>
      </c>
      <c r="H69" s="2">
        <f>IF(A69="","",MIN('Loan Inputs'!$B$18,MAX(0,C69+E69-'Loan Inputs'!$B$17)))</f>
        <v>250</v>
      </c>
    </row>
    <row r="70" spans="1:8" ht="22" customHeight="1">
      <c r="A70" s="1">
        <f>IF(AND('Loan Inputs'!$B$12,64&lt;=IF('Loan Inputs'!$B$12,'Loan Inputs'!$B$7,0)*'Loan Inputs'!$B$14+5*'Loan Inputs'!$B$14,ISNUMBER(G69),G69&gt;0),64,"")</f>
        <v>64</v>
      </c>
      <c r="B70" s="4">
        <f>IF(A70="","",IF('Loan Inputs'!$B$14=12,DATE(YEAR('Loan Inputs'!$B$8),MONTH('Loan Inputs'!$B$8)+A70,DAY('Loan Inputs'!$B$8)),'Loan Inputs'!$B$8+A70*IF('Loan Inputs'!$B$14=26,14,7)))</f>
        <v>48274</v>
      </c>
      <c r="C70" s="2">
        <f t="shared" si="2"/>
        <v>586550.45010026963</v>
      </c>
      <c r="D70" s="2">
        <f>IF(A70="","",MIN('Loan Inputs'!$B$17,C70+E70)+H70)</f>
        <v>4311.533367807353</v>
      </c>
      <c r="E70" s="2">
        <f>IF(A70="","",C70*'Loan Inputs'!$B$15)</f>
        <v>3123.3811467839359</v>
      </c>
      <c r="F70" s="2">
        <f t="shared" si="0"/>
        <v>1188.152221023417</v>
      </c>
      <c r="G70" s="2">
        <f t="shared" si="1"/>
        <v>585362.29787924618</v>
      </c>
      <c r="H70" s="2">
        <f>IF(A70="","",MIN('Loan Inputs'!$B$18,MAX(0,C70+E70-'Loan Inputs'!$B$17)))</f>
        <v>250</v>
      </c>
    </row>
    <row r="71" spans="1:8" ht="22" customHeight="1">
      <c r="A71" s="1">
        <f>IF(AND('Loan Inputs'!$B$12,65&lt;=IF('Loan Inputs'!$B$12,'Loan Inputs'!$B$7,0)*'Loan Inputs'!$B$14+5*'Loan Inputs'!$B$14,ISNUMBER(G70),G70&gt;0),65,"")</f>
        <v>65</v>
      </c>
      <c r="B71" s="4">
        <f>IF(A71="","",IF('Loan Inputs'!$B$14=12,DATE(YEAR('Loan Inputs'!$B$8),MONTH('Loan Inputs'!$B$8)+A71,DAY('Loan Inputs'!$B$8)),'Loan Inputs'!$B$8+A71*IF('Loan Inputs'!$B$14=26,14,7)))</f>
        <v>48305</v>
      </c>
      <c r="C71" s="2">
        <f t="shared" si="2"/>
        <v>585362.29787924618</v>
      </c>
      <c r="D71" s="2">
        <f>IF(A71="","",MIN('Loan Inputs'!$B$17,C71+E71)+H71)</f>
        <v>4311.533367807353</v>
      </c>
      <c r="E71" s="2">
        <f>IF(A71="","",C71*'Loan Inputs'!$B$15)</f>
        <v>3117.0542362069859</v>
      </c>
      <c r="F71" s="2">
        <f t="shared" ref="F71:F134" si="3">IF(A71="","",MIN(C71,D71-E71))</f>
        <v>1194.4791316003671</v>
      </c>
      <c r="G71" s="2">
        <f t="shared" ref="G71:G134" si="4">IF(A71="","",IF(C71-F71&lt;0.0000001,0,MAX(0,C71-F71)))</f>
        <v>584167.81874764583</v>
      </c>
      <c r="H71" s="2">
        <f>IF(A71="","",MIN('Loan Inputs'!$B$18,MAX(0,C71+E71-'Loan Inputs'!$B$17)))</f>
        <v>250</v>
      </c>
    </row>
    <row r="72" spans="1:8" ht="22" customHeight="1">
      <c r="A72" s="1">
        <f>IF(AND('Loan Inputs'!$B$12,66&lt;=IF('Loan Inputs'!$B$12,'Loan Inputs'!$B$7,0)*'Loan Inputs'!$B$14+5*'Loan Inputs'!$B$14,ISNUMBER(G71),G71&gt;0),66,"")</f>
        <v>66</v>
      </c>
      <c r="B72" s="4">
        <f>IF(A72="","",IF('Loan Inputs'!$B$14=12,DATE(YEAR('Loan Inputs'!$B$8),MONTH('Loan Inputs'!$B$8)+A72,DAY('Loan Inputs'!$B$8)),'Loan Inputs'!$B$8+A72*IF('Loan Inputs'!$B$14=26,14,7)))</f>
        <v>48335</v>
      </c>
      <c r="C72" s="2">
        <f t="shared" ref="C72:C135" si="5">IF(A72="","",G71)</f>
        <v>584167.81874764583</v>
      </c>
      <c r="D72" s="2">
        <f>IF(A72="","",MIN('Loan Inputs'!$B$17,C72+E72)+H72)</f>
        <v>4311.533367807353</v>
      </c>
      <c r="E72" s="2">
        <f>IF(A72="","",C72*'Loan Inputs'!$B$15)</f>
        <v>3110.6936348312138</v>
      </c>
      <c r="F72" s="2">
        <f t="shared" si="3"/>
        <v>1200.8397329761392</v>
      </c>
      <c r="G72" s="2">
        <f t="shared" si="4"/>
        <v>582966.97901466966</v>
      </c>
      <c r="H72" s="2">
        <f>IF(A72="","",MIN('Loan Inputs'!$B$18,MAX(0,C72+E72-'Loan Inputs'!$B$17)))</f>
        <v>250</v>
      </c>
    </row>
    <row r="73" spans="1:8" ht="22" customHeight="1">
      <c r="A73" s="1">
        <f>IF(AND('Loan Inputs'!$B$12,67&lt;=IF('Loan Inputs'!$B$12,'Loan Inputs'!$B$7,0)*'Loan Inputs'!$B$14+5*'Loan Inputs'!$B$14,ISNUMBER(G72),G72&gt;0),67,"")</f>
        <v>67</v>
      </c>
      <c r="B73" s="4">
        <f>IF(A73="","",IF('Loan Inputs'!$B$14=12,DATE(YEAR('Loan Inputs'!$B$8),MONTH('Loan Inputs'!$B$8)+A73,DAY('Loan Inputs'!$B$8)),'Loan Inputs'!$B$8+A73*IF('Loan Inputs'!$B$14=26,14,7)))</f>
        <v>48366</v>
      </c>
      <c r="C73" s="2">
        <f t="shared" si="5"/>
        <v>582966.97901466966</v>
      </c>
      <c r="D73" s="2">
        <f>IF(A73="","",MIN('Loan Inputs'!$B$17,C73+E73)+H73)</f>
        <v>4311.533367807353</v>
      </c>
      <c r="E73" s="2">
        <f>IF(A73="","",C73*'Loan Inputs'!$B$15)</f>
        <v>3104.2991632531157</v>
      </c>
      <c r="F73" s="2">
        <f t="shared" si="3"/>
        <v>1207.2342045542373</v>
      </c>
      <c r="G73" s="2">
        <f t="shared" si="4"/>
        <v>581759.74481011543</v>
      </c>
      <c r="H73" s="2">
        <f>IF(A73="","",MIN('Loan Inputs'!$B$18,MAX(0,C73+E73-'Loan Inputs'!$B$17)))</f>
        <v>250</v>
      </c>
    </row>
    <row r="74" spans="1:8" ht="22" customHeight="1">
      <c r="A74" s="1">
        <f>IF(AND('Loan Inputs'!$B$12,68&lt;=IF('Loan Inputs'!$B$12,'Loan Inputs'!$B$7,0)*'Loan Inputs'!$B$14+5*'Loan Inputs'!$B$14,ISNUMBER(G73),G73&gt;0),68,"")</f>
        <v>68</v>
      </c>
      <c r="B74" s="4">
        <f>IF(A74="","",IF('Loan Inputs'!$B$14=12,DATE(YEAR('Loan Inputs'!$B$8),MONTH('Loan Inputs'!$B$8)+A74,DAY('Loan Inputs'!$B$8)),'Loan Inputs'!$B$8+A74*IF('Loan Inputs'!$B$14=26,14,7)))</f>
        <v>48396</v>
      </c>
      <c r="C74" s="2">
        <f t="shared" si="5"/>
        <v>581759.74481011543</v>
      </c>
      <c r="D74" s="2">
        <f>IF(A74="","",MIN('Loan Inputs'!$B$17,C74+E74)+H74)</f>
        <v>4311.533367807353</v>
      </c>
      <c r="E74" s="2">
        <f>IF(A74="","",C74*'Loan Inputs'!$B$15)</f>
        <v>3097.8706411138646</v>
      </c>
      <c r="F74" s="2">
        <f t="shared" si="3"/>
        <v>1213.6627266934884</v>
      </c>
      <c r="G74" s="2">
        <f t="shared" si="4"/>
        <v>580546.08208342199</v>
      </c>
      <c r="H74" s="2">
        <f>IF(A74="","",MIN('Loan Inputs'!$B$18,MAX(0,C74+E74-'Loan Inputs'!$B$17)))</f>
        <v>250</v>
      </c>
    </row>
    <row r="75" spans="1:8" ht="22" customHeight="1">
      <c r="A75" s="1">
        <f>IF(AND('Loan Inputs'!$B$12,69&lt;=IF('Loan Inputs'!$B$12,'Loan Inputs'!$B$7,0)*'Loan Inputs'!$B$14+5*'Loan Inputs'!$B$14,ISNUMBER(G74),G74&gt;0),69,"")</f>
        <v>69</v>
      </c>
      <c r="B75" s="4">
        <f>IF(A75="","",IF('Loan Inputs'!$B$14=12,DATE(YEAR('Loan Inputs'!$B$8),MONTH('Loan Inputs'!$B$8)+A75,DAY('Loan Inputs'!$B$8)),'Loan Inputs'!$B$8+A75*IF('Loan Inputs'!$B$14=26,14,7)))</f>
        <v>48427</v>
      </c>
      <c r="C75" s="2">
        <f t="shared" si="5"/>
        <v>580546.08208342199</v>
      </c>
      <c r="D75" s="2">
        <f>IF(A75="","",MIN('Loan Inputs'!$B$17,C75+E75)+H75)</f>
        <v>4311.533367807353</v>
      </c>
      <c r="E75" s="2">
        <f>IF(A75="","",C75*'Loan Inputs'!$B$15)</f>
        <v>3091.4078870942221</v>
      </c>
      <c r="F75" s="2">
        <f t="shared" si="3"/>
        <v>1220.1254807131309</v>
      </c>
      <c r="G75" s="2">
        <f t="shared" si="4"/>
        <v>579325.9566027089</v>
      </c>
      <c r="H75" s="2">
        <f>IF(A75="","",MIN('Loan Inputs'!$B$18,MAX(0,C75+E75-'Loan Inputs'!$B$17)))</f>
        <v>250</v>
      </c>
    </row>
    <row r="76" spans="1:8" ht="22" customHeight="1">
      <c r="A76" s="1">
        <f>IF(AND('Loan Inputs'!$B$12,70&lt;=IF('Loan Inputs'!$B$12,'Loan Inputs'!$B$7,0)*'Loan Inputs'!$B$14+5*'Loan Inputs'!$B$14,ISNUMBER(G75),G75&gt;0),70,"")</f>
        <v>70</v>
      </c>
      <c r="B76" s="4">
        <f>IF(A76="","",IF('Loan Inputs'!$B$14=12,DATE(YEAR('Loan Inputs'!$B$8),MONTH('Loan Inputs'!$B$8)+A76,DAY('Loan Inputs'!$B$8)),'Loan Inputs'!$B$8+A76*IF('Loan Inputs'!$B$14=26,14,7)))</f>
        <v>48458</v>
      </c>
      <c r="C76" s="2">
        <f t="shared" si="5"/>
        <v>579325.9566027089</v>
      </c>
      <c r="D76" s="2">
        <f>IF(A76="","",MIN('Loan Inputs'!$B$17,C76+E76)+H76)</f>
        <v>4311.533367807353</v>
      </c>
      <c r="E76" s="2">
        <f>IF(A76="","",C76*'Loan Inputs'!$B$15)</f>
        <v>3084.9107189094248</v>
      </c>
      <c r="F76" s="2">
        <f t="shared" si="3"/>
        <v>1226.6226488979282</v>
      </c>
      <c r="G76" s="2">
        <f t="shared" si="4"/>
        <v>578099.33395381097</v>
      </c>
      <c r="H76" s="2">
        <f>IF(A76="","",MIN('Loan Inputs'!$B$18,MAX(0,C76+E76-'Loan Inputs'!$B$17)))</f>
        <v>250</v>
      </c>
    </row>
    <row r="77" spans="1:8" ht="22" customHeight="1">
      <c r="A77" s="1">
        <f>IF(AND('Loan Inputs'!$B$12,71&lt;=IF('Loan Inputs'!$B$12,'Loan Inputs'!$B$7,0)*'Loan Inputs'!$B$14+5*'Loan Inputs'!$B$14,ISNUMBER(G76),G76&gt;0),71,"")</f>
        <v>71</v>
      </c>
      <c r="B77" s="4">
        <f>IF(A77="","",IF('Loan Inputs'!$B$14=12,DATE(YEAR('Loan Inputs'!$B$8),MONTH('Loan Inputs'!$B$8)+A77,DAY('Loan Inputs'!$B$8)),'Loan Inputs'!$B$8+A77*IF('Loan Inputs'!$B$14=26,14,7)))</f>
        <v>48488</v>
      </c>
      <c r="C77" s="2">
        <f t="shared" si="5"/>
        <v>578099.33395381097</v>
      </c>
      <c r="D77" s="2">
        <f>IF(A77="","",MIN('Loan Inputs'!$B$17,C77+E77)+H77)</f>
        <v>4311.533367807353</v>
      </c>
      <c r="E77" s="2">
        <f>IF(A77="","",C77*'Loan Inputs'!$B$15)</f>
        <v>3078.3789533040435</v>
      </c>
      <c r="F77" s="2">
        <f t="shared" si="3"/>
        <v>1233.1544145033095</v>
      </c>
      <c r="G77" s="2">
        <f t="shared" si="4"/>
        <v>576866.17953930772</v>
      </c>
      <c r="H77" s="2">
        <f>IF(A77="","",MIN('Loan Inputs'!$B$18,MAX(0,C77+E77-'Loan Inputs'!$B$17)))</f>
        <v>250</v>
      </c>
    </row>
    <row r="78" spans="1:8" ht="22" customHeight="1">
      <c r="A78" s="1">
        <f>IF(AND('Loan Inputs'!$B$12,72&lt;=IF('Loan Inputs'!$B$12,'Loan Inputs'!$B$7,0)*'Loan Inputs'!$B$14+5*'Loan Inputs'!$B$14,ISNUMBER(G77),G77&gt;0),72,"")</f>
        <v>72</v>
      </c>
      <c r="B78" s="4">
        <f>IF(A78="","",IF('Loan Inputs'!$B$14=12,DATE(YEAR('Loan Inputs'!$B$8),MONTH('Loan Inputs'!$B$8)+A78,DAY('Loan Inputs'!$B$8)),'Loan Inputs'!$B$8+A78*IF('Loan Inputs'!$B$14=26,14,7)))</f>
        <v>48519</v>
      </c>
      <c r="C78" s="2">
        <f t="shared" si="5"/>
        <v>576866.17953930772</v>
      </c>
      <c r="D78" s="2">
        <f>IF(A78="","",MIN('Loan Inputs'!$B$17,C78+E78)+H78)</f>
        <v>4311.533367807353</v>
      </c>
      <c r="E78" s="2">
        <f>IF(A78="","",C78*'Loan Inputs'!$B$15)</f>
        <v>3071.8124060468135</v>
      </c>
      <c r="F78" s="2">
        <f t="shared" si="3"/>
        <v>1239.7209617605395</v>
      </c>
      <c r="G78" s="2">
        <f t="shared" si="4"/>
        <v>575626.45857754722</v>
      </c>
      <c r="H78" s="2">
        <f>IF(A78="","",MIN('Loan Inputs'!$B$18,MAX(0,C78+E78-'Loan Inputs'!$B$17)))</f>
        <v>250</v>
      </c>
    </row>
    <row r="79" spans="1:8" ht="22" customHeight="1">
      <c r="A79" s="1">
        <f>IF(AND('Loan Inputs'!$B$12,73&lt;=IF('Loan Inputs'!$B$12,'Loan Inputs'!$B$7,0)*'Loan Inputs'!$B$14+5*'Loan Inputs'!$B$14,ISNUMBER(G78),G78&gt;0),73,"")</f>
        <v>73</v>
      </c>
      <c r="B79" s="4">
        <f>IF(A79="","",IF('Loan Inputs'!$B$14=12,DATE(YEAR('Loan Inputs'!$B$8),MONTH('Loan Inputs'!$B$8)+A79,DAY('Loan Inputs'!$B$8)),'Loan Inputs'!$B$8+A79*IF('Loan Inputs'!$B$14=26,14,7)))</f>
        <v>48549</v>
      </c>
      <c r="C79" s="2">
        <f t="shared" si="5"/>
        <v>575626.45857754722</v>
      </c>
      <c r="D79" s="2">
        <f>IF(A79="","",MIN('Loan Inputs'!$B$17,C79+E79)+H79)</f>
        <v>4311.533367807353</v>
      </c>
      <c r="E79" s="2">
        <f>IF(A79="","",C79*'Loan Inputs'!$B$15)</f>
        <v>3065.2108919254388</v>
      </c>
      <c r="F79" s="2">
        <f t="shared" si="3"/>
        <v>1246.3224758819142</v>
      </c>
      <c r="G79" s="2">
        <f t="shared" si="4"/>
        <v>574380.13610166532</v>
      </c>
      <c r="H79" s="2">
        <f>IF(A79="","",MIN('Loan Inputs'!$B$18,MAX(0,C79+E79-'Loan Inputs'!$B$17)))</f>
        <v>250</v>
      </c>
    </row>
    <row r="80" spans="1:8" ht="22" customHeight="1">
      <c r="A80" s="1">
        <f>IF(AND('Loan Inputs'!$B$12,74&lt;=IF('Loan Inputs'!$B$12,'Loan Inputs'!$B$7,0)*'Loan Inputs'!$B$14+5*'Loan Inputs'!$B$14,ISNUMBER(G79),G79&gt;0),74,"")</f>
        <v>74</v>
      </c>
      <c r="B80" s="4">
        <f>IF(A80="","",IF('Loan Inputs'!$B$14=12,DATE(YEAR('Loan Inputs'!$B$8),MONTH('Loan Inputs'!$B$8)+A80,DAY('Loan Inputs'!$B$8)),'Loan Inputs'!$B$8+A80*IF('Loan Inputs'!$B$14=26,14,7)))</f>
        <v>48580</v>
      </c>
      <c r="C80" s="2">
        <f t="shared" si="5"/>
        <v>574380.13610166532</v>
      </c>
      <c r="D80" s="2">
        <f>IF(A80="","",MIN('Loan Inputs'!$B$17,C80+E80)+H80)</f>
        <v>4311.533367807353</v>
      </c>
      <c r="E80" s="2">
        <f>IF(A80="","",C80*'Loan Inputs'!$B$15)</f>
        <v>3058.5742247413677</v>
      </c>
      <c r="F80" s="2">
        <f t="shared" si="3"/>
        <v>1252.9591430659852</v>
      </c>
      <c r="G80" s="2">
        <f t="shared" si="4"/>
        <v>573127.17695859936</v>
      </c>
      <c r="H80" s="2">
        <f>IF(A80="","",MIN('Loan Inputs'!$B$18,MAX(0,C80+E80-'Loan Inputs'!$B$17)))</f>
        <v>250</v>
      </c>
    </row>
    <row r="81" spans="1:8" ht="22" customHeight="1">
      <c r="A81" s="1">
        <f>IF(AND('Loan Inputs'!$B$12,75&lt;=IF('Loan Inputs'!$B$12,'Loan Inputs'!$B$7,0)*'Loan Inputs'!$B$14+5*'Loan Inputs'!$B$14,ISNUMBER(G80),G80&gt;0),75,"")</f>
        <v>75</v>
      </c>
      <c r="B81" s="4">
        <f>IF(A81="","",IF('Loan Inputs'!$B$14=12,DATE(YEAR('Loan Inputs'!$B$8),MONTH('Loan Inputs'!$B$8)+A81,DAY('Loan Inputs'!$B$8)),'Loan Inputs'!$B$8+A81*IF('Loan Inputs'!$B$14=26,14,7)))</f>
        <v>48611</v>
      </c>
      <c r="C81" s="2">
        <f t="shared" si="5"/>
        <v>573127.17695859936</v>
      </c>
      <c r="D81" s="2">
        <f>IF(A81="","",MIN('Loan Inputs'!$B$17,C81+E81)+H81)</f>
        <v>4311.533367807353</v>
      </c>
      <c r="E81" s="2">
        <f>IF(A81="","",C81*'Loan Inputs'!$B$15)</f>
        <v>3051.9022173045414</v>
      </c>
      <c r="F81" s="2">
        <f t="shared" si="3"/>
        <v>1259.6311505028116</v>
      </c>
      <c r="G81" s="2">
        <f t="shared" si="4"/>
        <v>571867.54580809653</v>
      </c>
      <c r="H81" s="2">
        <f>IF(A81="","",MIN('Loan Inputs'!$B$18,MAX(0,C81+E81-'Loan Inputs'!$B$17)))</f>
        <v>250</v>
      </c>
    </row>
    <row r="82" spans="1:8" ht="22" customHeight="1">
      <c r="A82" s="1">
        <f>IF(AND('Loan Inputs'!$B$12,76&lt;=IF('Loan Inputs'!$B$12,'Loan Inputs'!$B$7,0)*'Loan Inputs'!$B$14+5*'Loan Inputs'!$B$14,ISNUMBER(G81),G81&gt;0),76,"")</f>
        <v>76</v>
      </c>
      <c r="B82" s="4">
        <f>IF(A82="","",IF('Loan Inputs'!$B$14=12,DATE(YEAR('Loan Inputs'!$B$8),MONTH('Loan Inputs'!$B$8)+A82,DAY('Loan Inputs'!$B$8)),'Loan Inputs'!$B$8+A82*IF('Loan Inputs'!$B$14=26,14,7)))</f>
        <v>48639</v>
      </c>
      <c r="C82" s="2">
        <f t="shared" si="5"/>
        <v>571867.54580809653</v>
      </c>
      <c r="D82" s="2">
        <f>IF(A82="","",MIN('Loan Inputs'!$B$17,C82+E82)+H82)</f>
        <v>4311.533367807353</v>
      </c>
      <c r="E82" s="2">
        <f>IF(A82="","",C82*'Loan Inputs'!$B$15)</f>
        <v>3045.1946814281141</v>
      </c>
      <c r="F82" s="2">
        <f t="shared" si="3"/>
        <v>1266.3386863792389</v>
      </c>
      <c r="G82" s="2">
        <f t="shared" si="4"/>
        <v>570601.20712171728</v>
      </c>
      <c r="H82" s="2">
        <f>IF(A82="","",MIN('Loan Inputs'!$B$18,MAX(0,C82+E82-'Loan Inputs'!$B$17)))</f>
        <v>250</v>
      </c>
    </row>
    <row r="83" spans="1:8" ht="22" customHeight="1">
      <c r="A83" s="1">
        <f>IF(AND('Loan Inputs'!$B$12,77&lt;=IF('Loan Inputs'!$B$12,'Loan Inputs'!$B$7,0)*'Loan Inputs'!$B$14+5*'Loan Inputs'!$B$14,ISNUMBER(G82),G82&gt;0),77,"")</f>
        <v>77</v>
      </c>
      <c r="B83" s="4">
        <f>IF(A83="","",IF('Loan Inputs'!$B$14=12,DATE(YEAR('Loan Inputs'!$B$8),MONTH('Loan Inputs'!$B$8)+A83,DAY('Loan Inputs'!$B$8)),'Loan Inputs'!$B$8+A83*IF('Loan Inputs'!$B$14=26,14,7)))</f>
        <v>48670</v>
      </c>
      <c r="C83" s="2">
        <f t="shared" si="5"/>
        <v>570601.20712171728</v>
      </c>
      <c r="D83" s="2">
        <f>IF(A83="","",MIN('Loan Inputs'!$B$17,C83+E83)+H83)</f>
        <v>4311.533367807353</v>
      </c>
      <c r="E83" s="2">
        <f>IF(A83="","",C83*'Loan Inputs'!$B$15)</f>
        <v>3038.4514279231444</v>
      </c>
      <c r="F83" s="2">
        <f t="shared" si="3"/>
        <v>1273.0819398842086</v>
      </c>
      <c r="G83" s="2">
        <f t="shared" si="4"/>
        <v>569328.12518183305</v>
      </c>
      <c r="H83" s="2">
        <f>IF(A83="","",MIN('Loan Inputs'!$B$18,MAX(0,C83+E83-'Loan Inputs'!$B$17)))</f>
        <v>250</v>
      </c>
    </row>
    <row r="84" spans="1:8" ht="22" customHeight="1">
      <c r="A84" s="1">
        <f>IF(AND('Loan Inputs'!$B$12,78&lt;=IF('Loan Inputs'!$B$12,'Loan Inputs'!$B$7,0)*'Loan Inputs'!$B$14+5*'Loan Inputs'!$B$14,ISNUMBER(G83),G83&gt;0),78,"")</f>
        <v>78</v>
      </c>
      <c r="B84" s="4">
        <f>IF(A84="","",IF('Loan Inputs'!$B$14=12,DATE(YEAR('Loan Inputs'!$B$8),MONTH('Loan Inputs'!$B$8)+A84,DAY('Loan Inputs'!$B$8)),'Loan Inputs'!$B$8+A84*IF('Loan Inputs'!$B$14=26,14,7)))</f>
        <v>48700</v>
      </c>
      <c r="C84" s="2">
        <f t="shared" si="5"/>
        <v>569328.12518183305</v>
      </c>
      <c r="D84" s="2">
        <f>IF(A84="","",MIN('Loan Inputs'!$B$17,C84+E84)+H84)</f>
        <v>4311.533367807353</v>
      </c>
      <c r="E84" s="2">
        <f>IF(A84="","",C84*'Loan Inputs'!$B$15)</f>
        <v>3031.6722665932607</v>
      </c>
      <c r="F84" s="2">
        <f t="shared" si="3"/>
        <v>1279.8611012140923</v>
      </c>
      <c r="G84" s="2">
        <f t="shared" si="4"/>
        <v>568048.26408061897</v>
      </c>
      <c r="H84" s="2">
        <f>IF(A84="","",MIN('Loan Inputs'!$B$18,MAX(0,C84+E84-'Loan Inputs'!$B$17)))</f>
        <v>250</v>
      </c>
    </row>
    <row r="85" spans="1:8" ht="22" customHeight="1">
      <c r="A85" s="1">
        <f>IF(AND('Loan Inputs'!$B$12,79&lt;=IF('Loan Inputs'!$B$12,'Loan Inputs'!$B$7,0)*'Loan Inputs'!$B$14+5*'Loan Inputs'!$B$14,ISNUMBER(G84),G84&gt;0),79,"")</f>
        <v>79</v>
      </c>
      <c r="B85" s="4">
        <f>IF(A85="","",IF('Loan Inputs'!$B$14=12,DATE(YEAR('Loan Inputs'!$B$8),MONTH('Loan Inputs'!$B$8)+A85,DAY('Loan Inputs'!$B$8)),'Loan Inputs'!$B$8+A85*IF('Loan Inputs'!$B$14=26,14,7)))</f>
        <v>48731</v>
      </c>
      <c r="C85" s="2">
        <f t="shared" si="5"/>
        <v>568048.26408061897</v>
      </c>
      <c r="D85" s="2">
        <f>IF(A85="","",MIN('Loan Inputs'!$B$17,C85+E85)+H85)</f>
        <v>4311.533367807353</v>
      </c>
      <c r="E85" s="2">
        <f>IF(A85="","",C85*'Loan Inputs'!$B$15)</f>
        <v>3024.8570062292961</v>
      </c>
      <c r="F85" s="2">
        <f t="shared" si="3"/>
        <v>1286.6763615780569</v>
      </c>
      <c r="G85" s="2">
        <f t="shared" si="4"/>
        <v>566761.58771904092</v>
      </c>
      <c r="H85" s="2">
        <f>IF(A85="","",MIN('Loan Inputs'!$B$18,MAX(0,C85+E85-'Loan Inputs'!$B$17)))</f>
        <v>250</v>
      </c>
    </row>
    <row r="86" spans="1:8" ht="22" customHeight="1">
      <c r="A86" s="1">
        <f>IF(AND('Loan Inputs'!$B$12,80&lt;=IF('Loan Inputs'!$B$12,'Loan Inputs'!$B$7,0)*'Loan Inputs'!$B$14+5*'Loan Inputs'!$B$14,ISNUMBER(G85),G85&gt;0),80,"")</f>
        <v>80</v>
      </c>
      <c r="B86" s="4">
        <f>IF(A86="","",IF('Loan Inputs'!$B$14=12,DATE(YEAR('Loan Inputs'!$B$8),MONTH('Loan Inputs'!$B$8)+A86,DAY('Loan Inputs'!$B$8)),'Loan Inputs'!$B$8+A86*IF('Loan Inputs'!$B$14=26,14,7)))</f>
        <v>48761</v>
      </c>
      <c r="C86" s="2">
        <f t="shared" si="5"/>
        <v>566761.58771904092</v>
      </c>
      <c r="D86" s="2">
        <f>IF(A86="","",MIN('Loan Inputs'!$B$17,C86+E86)+H86)</f>
        <v>4311.533367807353</v>
      </c>
      <c r="E86" s="2">
        <f>IF(A86="","",C86*'Loan Inputs'!$B$15)</f>
        <v>3018.0054546038928</v>
      </c>
      <c r="F86" s="2">
        <f t="shared" si="3"/>
        <v>1293.5279132034602</v>
      </c>
      <c r="G86" s="2">
        <f t="shared" si="4"/>
        <v>565468.05980583746</v>
      </c>
      <c r="H86" s="2">
        <f>IF(A86="","",MIN('Loan Inputs'!$B$18,MAX(0,C86+E86-'Loan Inputs'!$B$17)))</f>
        <v>250</v>
      </c>
    </row>
    <row r="87" spans="1:8" ht="22" customHeight="1">
      <c r="A87" s="1">
        <f>IF(AND('Loan Inputs'!$B$12,81&lt;=IF('Loan Inputs'!$B$12,'Loan Inputs'!$B$7,0)*'Loan Inputs'!$B$14+5*'Loan Inputs'!$B$14,ISNUMBER(G86),G86&gt;0),81,"")</f>
        <v>81</v>
      </c>
      <c r="B87" s="4">
        <f>IF(A87="","",IF('Loan Inputs'!$B$14=12,DATE(YEAR('Loan Inputs'!$B$8),MONTH('Loan Inputs'!$B$8)+A87,DAY('Loan Inputs'!$B$8)),'Loan Inputs'!$B$8+A87*IF('Loan Inputs'!$B$14=26,14,7)))</f>
        <v>48792</v>
      </c>
      <c r="C87" s="2">
        <f t="shared" si="5"/>
        <v>565468.05980583746</v>
      </c>
      <c r="D87" s="2">
        <f>IF(A87="","",MIN('Loan Inputs'!$B$17,C87+E87)+H87)</f>
        <v>4311.533367807353</v>
      </c>
      <c r="E87" s="2">
        <f>IF(A87="","",C87*'Loan Inputs'!$B$15)</f>
        <v>3011.1174184660845</v>
      </c>
      <c r="F87" s="2">
        <f t="shared" si="3"/>
        <v>1300.4159493412685</v>
      </c>
      <c r="G87" s="2">
        <f t="shared" si="4"/>
        <v>564167.6438564962</v>
      </c>
      <c r="H87" s="2">
        <f>IF(A87="","",MIN('Loan Inputs'!$B$18,MAX(0,C87+E87-'Loan Inputs'!$B$17)))</f>
        <v>250</v>
      </c>
    </row>
    <row r="88" spans="1:8" ht="22" customHeight="1">
      <c r="A88" s="1">
        <f>IF(AND('Loan Inputs'!$B$12,82&lt;=IF('Loan Inputs'!$B$12,'Loan Inputs'!$B$7,0)*'Loan Inputs'!$B$14+5*'Loan Inputs'!$B$14,ISNUMBER(G87),G87&gt;0),82,"")</f>
        <v>82</v>
      </c>
      <c r="B88" s="4">
        <f>IF(A88="","",IF('Loan Inputs'!$B$14=12,DATE(YEAR('Loan Inputs'!$B$8),MONTH('Loan Inputs'!$B$8)+A88,DAY('Loan Inputs'!$B$8)),'Loan Inputs'!$B$8+A88*IF('Loan Inputs'!$B$14=26,14,7)))</f>
        <v>48823</v>
      </c>
      <c r="C88" s="2">
        <f t="shared" si="5"/>
        <v>564167.6438564962</v>
      </c>
      <c r="D88" s="2">
        <f>IF(A88="","",MIN('Loan Inputs'!$B$17,C88+E88)+H88)</f>
        <v>4311.533367807353</v>
      </c>
      <c r="E88" s="2">
        <f>IF(A88="","",C88*'Loan Inputs'!$B$15)</f>
        <v>3004.1927035358422</v>
      </c>
      <c r="F88" s="2">
        <f t="shared" si="3"/>
        <v>1307.3406642715108</v>
      </c>
      <c r="G88" s="2">
        <f t="shared" si="4"/>
        <v>562860.3031922247</v>
      </c>
      <c r="H88" s="2">
        <f>IF(A88="","",MIN('Loan Inputs'!$B$18,MAX(0,C88+E88-'Loan Inputs'!$B$17)))</f>
        <v>250</v>
      </c>
    </row>
    <row r="89" spans="1:8" ht="22" customHeight="1">
      <c r="A89" s="1">
        <f>IF(AND('Loan Inputs'!$B$12,83&lt;=IF('Loan Inputs'!$B$12,'Loan Inputs'!$B$7,0)*'Loan Inputs'!$B$14+5*'Loan Inputs'!$B$14,ISNUMBER(G88),G88&gt;0),83,"")</f>
        <v>83</v>
      </c>
      <c r="B89" s="4">
        <f>IF(A89="","",IF('Loan Inputs'!$B$14=12,DATE(YEAR('Loan Inputs'!$B$8),MONTH('Loan Inputs'!$B$8)+A89,DAY('Loan Inputs'!$B$8)),'Loan Inputs'!$B$8+A89*IF('Loan Inputs'!$B$14=26,14,7)))</f>
        <v>48853</v>
      </c>
      <c r="C89" s="2">
        <f t="shared" si="5"/>
        <v>562860.3031922247</v>
      </c>
      <c r="D89" s="2">
        <f>IF(A89="","",MIN('Loan Inputs'!$B$17,C89+E89)+H89)</f>
        <v>4311.533367807353</v>
      </c>
      <c r="E89" s="2">
        <f>IF(A89="","",C89*'Loan Inputs'!$B$15)</f>
        <v>2997.2311144985965</v>
      </c>
      <c r="F89" s="2">
        <f t="shared" si="3"/>
        <v>1314.3022533087565</v>
      </c>
      <c r="G89" s="2">
        <f t="shared" si="4"/>
        <v>561546.000938916</v>
      </c>
      <c r="H89" s="2">
        <f>IF(A89="","",MIN('Loan Inputs'!$B$18,MAX(0,C89+E89-'Loan Inputs'!$B$17)))</f>
        <v>250</v>
      </c>
    </row>
    <row r="90" spans="1:8" ht="22" customHeight="1">
      <c r="A90" s="1">
        <f>IF(AND('Loan Inputs'!$B$12,84&lt;=IF('Loan Inputs'!$B$12,'Loan Inputs'!$B$7,0)*'Loan Inputs'!$B$14+5*'Loan Inputs'!$B$14,ISNUMBER(G89),G89&gt;0),84,"")</f>
        <v>84</v>
      </c>
      <c r="B90" s="4">
        <f>IF(A90="","",IF('Loan Inputs'!$B$14=12,DATE(YEAR('Loan Inputs'!$B$8),MONTH('Loan Inputs'!$B$8)+A90,DAY('Loan Inputs'!$B$8)),'Loan Inputs'!$B$8+A90*IF('Loan Inputs'!$B$14=26,14,7)))</f>
        <v>48884</v>
      </c>
      <c r="C90" s="2">
        <f t="shared" si="5"/>
        <v>561546.000938916</v>
      </c>
      <c r="D90" s="2">
        <f>IF(A90="","",MIN('Loan Inputs'!$B$17,C90+E90)+H90)</f>
        <v>4311.533367807353</v>
      </c>
      <c r="E90" s="2">
        <f>IF(A90="","",C90*'Loan Inputs'!$B$15)</f>
        <v>2990.2324549997275</v>
      </c>
      <c r="F90" s="2">
        <f t="shared" si="3"/>
        <v>1321.3009128076255</v>
      </c>
      <c r="G90" s="2">
        <f t="shared" si="4"/>
        <v>560224.70002610842</v>
      </c>
      <c r="H90" s="2">
        <f>IF(A90="","",MIN('Loan Inputs'!$B$18,MAX(0,C90+E90-'Loan Inputs'!$B$17)))</f>
        <v>250</v>
      </c>
    </row>
    <row r="91" spans="1:8" ht="22" customHeight="1">
      <c r="A91" s="1">
        <f>IF(AND('Loan Inputs'!$B$12,85&lt;=IF('Loan Inputs'!$B$12,'Loan Inputs'!$B$7,0)*'Loan Inputs'!$B$14+5*'Loan Inputs'!$B$14,ISNUMBER(G90),G90&gt;0),85,"")</f>
        <v>85</v>
      </c>
      <c r="B91" s="4">
        <f>IF(A91="","",IF('Loan Inputs'!$B$14=12,DATE(YEAR('Loan Inputs'!$B$8),MONTH('Loan Inputs'!$B$8)+A91,DAY('Loan Inputs'!$B$8)),'Loan Inputs'!$B$8+A91*IF('Loan Inputs'!$B$14=26,14,7)))</f>
        <v>48914</v>
      </c>
      <c r="C91" s="2">
        <f t="shared" si="5"/>
        <v>560224.70002610842</v>
      </c>
      <c r="D91" s="2">
        <f>IF(A91="","",MIN('Loan Inputs'!$B$17,C91+E91)+H91)</f>
        <v>4311.533367807353</v>
      </c>
      <c r="E91" s="2">
        <f>IF(A91="","",C91*'Loan Inputs'!$B$15)</f>
        <v>2983.1965276390274</v>
      </c>
      <c r="F91" s="2">
        <f t="shared" si="3"/>
        <v>1328.3368401683256</v>
      </c>
      <c r="G91" s="2">
        <f t="shared" si="4"/>
        <v>558896.36318594008</v>
      </c>
      <c r="H91" s="2">
        <f>IF(A91="","",MIN('Loan Inputs'!$B$18,MAX(0,C91+E91-'Loan Inputs'!$B$17)))</f>
        <v>250</v>
      </c>
    </row>
    <row r="92" spans="1:8" ht="22" customHeight="1">
      <c r="A92" s="1">
        <f>IF(AND('Loan Inputs'!$B$12,86&lt;=IF('Loan Inputs'!$B$12,'Loan Inputs'!$B$7,0)*'Loan Inputs'!$B$14+5*'Loan Inputs'!$B$14,ISNUMBER(G91),G91&gt;0),86,"")</f>
        <v>86</v>
      </c>
      <c r="B92" s="4">
        <f>IF(A92="","",IF('Loan Inputs'!$B$14=12,DATE(YEAR('Loan Inputs'!$B$8),MONTH('Loan Inputs'!$B$8)+A92,DAY('Loan Inputs'!$B$8)),'Loan Inputs'!$B$8+A92*IF('Loan Inputs'!$B$14=26,14,7)))</f>
        <v>48945</v>
      </c>
      <c r="C92" s="2">
        <f t="shared" si="5"/>
        <v>558896.36318594008</v>
      </c>
      <c r="D92" s="2">
        <f>IF(A92="","",MIN('Loan Inputs'!$B$17,C92+E92)+H92)</f>
        <v>4311.533367807353</v>
      </c>
      <c r="E92" s="2">
        <f>IF(A92="","",C92*'Loan Inputs'!$B$15)</f>
        <v>2976.1231339651308</v>
      </c>
      <c r="F92" s="2">
        <f t="shared" si="3"/>
        <v>1335.4102338422222</v>
      </c>
      <c r="G92" s="2">
        <f t="shared" si="4"/>
        <v>557560.95295209787</v>
      </c>
      <c r="H92" s="2">
        <f>IF(A92="","",MIN('Loan Inputs'!$B$18,MAX(0,C92+E92-'Loan Inputs'!$B$17)))</f>
        <v>250</v>
      </c>
    </row>
    <row r="93" spans="1:8" ht="22" customHeight="1">
      <c r="A93" s="1">
        <f>IF(AND('Loan Inputs'!$B$12,87&lt;=IF('Loan Inputs'!$B$12,'Loan Inputs'!$B$7,0)*'Loan Inputs'!$B$14+5*'Loan Inputs'!$B$14,ISNUMBER(G92),G92&gt;0),87,"")</f>
        <v>87</v>
      </c>
      <c r="B93" s="4">
        <f>IF(A93="","",IF('Loan Inputs'!$B$14=12,DATE(YEAR('Loan Inputs'!$B$8),MONTH('Loan Inputs'!$B$8)+A93,DAY('Loan Inputs'!$B$8)),'Loan Inputs'!$B$8+A93*IF('Loan Inputs'!$B$14=26,14,7)))</f>
        <v>48976</v>
      </c>
      <c r="C93" s="2">
        <f t="shared" si="5"/>
        <v>557560.95295209787</v>
      </c>
      <c r="D93" s="2">
        <f>IF(A93="","",MIN('Loan Inputs'!$B$17,C93+E93)+H93)</f>
        <v>4311.533367807353</v>
      </c>
      <c r="E93" s="2">
        <f>IF(A93="","",C93*'Loan Inputs'!$B$15)</f>
        <v>2969.0120744699211</v>
      </c>
      <c r="F93" s="2">
        <f t="shared" si="3"/>
        <v>1342.5212933374319</v>
      </c>
      <c r="G93" s="2">
        <f t="shared" si="4"/>
        <v>556218.43165876041</v>
      </c>
      <c r="H93" s="2">
        <f>IF(A93="","",MIN('Loan Inputs'!$B$18,MAX(0,C93+E93-'Loan Inputs'!$B$17)))</f>
        <v>250</v>
      </c>
    </row>
    <row r="94" spans="1:8" ht="22" customHeight="1">
      <c r="A94" s="1">
        <f>IF(AND('Loan Inputs'!$B$12,88&lt;=IF('Loan Inputs'!$B$12,'Loan Inputs'!$B$7,0)*'Loan Inputs'!$B$14+5*'Loan Inputs'!$B$14,ISNUMBER(G93),G93&gt;0),88,"")</f>
        <v>88</v>
      </c>
      <c r="B94" s="4">
        <f>IF(A94="","",IF('Loan Inputs'!$B$14=12,DATE(YEAR('Loan Inputs'!$B$8),MONTH('Loan Inputs'!$B$8)+A94,DAY('Loan Inputs'!$B$8)),'Loan Inputs'!$B$8+A94*IF('Loan Inputs'!$B$14=26,14,7)))</f>
        <v>49004</v>
      </c>
      <c r="C94" s="2">
        <f t="shared" si="5"/>
        <v>556218.43165876041</v>
      </c>
      <c r="D94" s="2">
        <f>IF(A94="","",MIN('Loan Inputs'!$B$17,C94+E94)+H94)</f>
        <v>4311.533367807353</v>
      </c>
      <c r="E94" s="2">
        <f>IF(A94="","",C94*'Loan Inputs'!$B$15)</f>
        <v>2961.8631485828992</v>
      </c>
      <c r="F94" s="2">
        <f t="shared" si="3"/>
        <v>1349.6702192244538</v>
      </c>
      <c r="G94" s="2">
        <f t="shared" si="4"/>
        <v>554868.761439536</v>
      </c>
      <c r="H94" s="2">
        <f>IF(A94="","",MIN('Loan Inputs'!$B$18,MAX(0,C94+E94-'Loan Inputs'!$B$17)))</f>
        <v>250</v>
      </c>
    </row>
    <row r="95" spans="1:8" ht="22" customHeight="1">
      <c r="A95" s="1">
        <f>IF(AND('Loan Inputs'!$B$12,89&lt;=IF('Loan Inputs'!$B$12,'Loan Inputs'!$B$7,0)*'Loan Inputs'!$B$14+5*'Loan Inputs'!$B$14,ISNUMBER(G94),G94&gt;0),89,"")</f>
        <v>89</v>
      </c>
      <c r="B95" s="4">
        <f>IF(A95="","",IF('Loan Inputs'!$B$14=12,DATE(YEAR('Loan Inputs'!$B$8),MONTH('Loan Inputs'!$B$8)+A95,DAY('Loan Inputs'!$B$8)),'Loan Inputs'!$B$8+A95*IF('Loan Inputs'!$B$14=26,14,7)))</f>
        <v>49035</v>
      </c>
      <c r="C95" s="2">
        <f t="shared" si="5"/>
        <v>554868.761439536</v>
      </c>
      <c r="D95" s="2">
        <f>IF(A95="","",MIN('Loan Inputs'!$B$17,C95+E95)+H95)</f>
        <v>4311.533367807353</v>
      </c>
      <c r="E95" s="2">
        <f>IF(A95="","",C95*'Loan Inputs'!$B$15)</f>
        <v>2954.6761546655293</v>
      </c>
      <c r="F95" s="2">
        <f t="shared" si="3"/>
        <v>1356.8572131418236</v>
      </c>
      <c r="G95" s="2">
        <f t="shared" si="4"/>
        <v>553511.90422639414</v>
      </c>
      <c r="H95" s="2">
        <f>IF(A95="","",MIN('Loan Inputs'!$B$18,MAX(0,C95+E95-'Loan Inputs'!$B$17)))</f>
        <v>250</v>
      </c>
    </row>
    <row r="96" spans="1:8" ht="22" customHeight="1">
      <c r="A96" s="1">
        <f>IF(AND('Loan Inputs'!$B$12,90&lt;=IF('Loan Inputs'!$B$12,'Loan Inputs'!$B$7,0)*'Loan Inputs'!$B$14+5*'Loan Inputs'!$B$14,ISNUMBER(G95),G95&gt;0),90,"")</f>
        <v>90</v>
      </c>
      <c r="B96" s="4">
        <f>IF(A96="","",IF('Loan Inputs'!$B$14=12,DATE(YEAR('Loan Inputs'!$B$8),MONTH('Loan Inputs'!$B$8)+A96,DAY('Loan Inputs'!$B$8)),'Loan Inputs'!$B$8+A96*IF('Loan Inputs'!$B$14=26,14,7)))</f>
        <v>49065</v>
      </c>
      <c r="C96" s="2">
        <f t="shared" si="5"/>
        <v>553511.90422639414</v>
      </c>
      <c r="D96" s="2">
        <f>IF(A96="","",MIN('Loan Inputs'!$B$17,C96+E96)+H96)</f>
        <v>4311.533367807353</v>
      </c>
      <c r="E96" s="2">
        <f>IF(A96="","",C96*'Loan Inputs'!$B$15)</f>
        <v>2947.4508900055489</v>
      </c>
      <c r="F96" s="2">
        <f t="shared" si="3"/>
        <v>1364.0824778018041</v>
      </c>
      <c r="G96" s="2">
        <f t="shared" si="4"/>
        <v>552147.82174859231</v>
      </c>
      <c r="H96" s="2">
        <f>IF(A96="","",MIN('Loan Inputs'!$B$18,MAX(0,C96+E96-'Loan Inputs'!$B$17)))</f>
        <v>250</v>
      </c>
    </row>
    <row r="97" spans="1:8" ht="22" customHeight="1">
      <c r="A97" s="1">
        <f>IF(AND('Loan Inputs'!$B$12,91&lt;=IF('Loan Inputs'!$B$12,'Loan Inputs'!$B$7,0)*'Loan Inputs'!$B$14+5*'Loan Inputs'!$B$14,ISNUMBER(G96),G96&gt;0),91,"")</f>
        <v>91</v>
      </c>
      <c r="B97" s="4">
        <f>IF(A97="","",IF('Loan Inputs'!$B$14=12,DATE(YEAR('Loan Inputs'!$B$8),MONTH('Loan Inputs'!$B$8)+A97,DAY('Loan Inputs'!$B$8)),'Loan Inputs'!$B$8+A97*IF('Loan Inputs'!$B$14=26,14,7)))</f>
        <v>49096</v>
      </c>
      <c r="C97" s="2">
        <f t="shared" si="5"/>
        <v>552147.82174859231</v>
      </c>
      <c r="D97" s="2">
        <f>IF(A97="","",MIN('Loan Inputs'!$B$17,C97+E97)+H97)</f>
        <v>4311.533367807353</v>
      </c>
      <c r="E97" s="2">
        <f>IF(A97="","",C97*'Loan Inputs'!$B$15)</f>
        <v>2940.187150811254</v>
      </c>
      <c r="F97" s="2">
        <f t="shared" si="3"/>
        <v>1371.346216996099</v>
      </c>
      <c r="G97" s="2">
        <f t="shared" si="4"/>
        <v>550776.47553159622</v>
      </c>
      <c r="H97" s="2">
        <f>IF(A97="","",MIN('Loan Inputs'!$B$18,MAX(0,C97+E97-'Loan Inputs'!$B$17)))</f>
        <v>250</v>
      </c>
    </row>
    <row r="98" spans="1:8" ht="22" customHeight="1">
      <c r="A98" s="1">
        <f>IF(AND('Loan Inputs'!$B$12,92&lt;=IF('Loan Inputs'!$B$12,'Loan Inputs'!$B$7,0)*'Loan Inputs'!$B$14+5*'Loan Inputs'!$B$14,ISNUMBER(G97),G97&gt;0),92,"")</f>
        <v>92</v>
      </c>
      <c r="B98" s="4">
        <f>IF(A98="","",IF('Loan Inputs'!$B$14=12,DATE(YEAR('Loan Inputs'!$B$8),MONTH('Loan Inputs'!$B$8)+A98,DAY('Loan Inputs'!$B$8)),'Loan Inputs'!$B$8+A98*IF('Loan Inputs'!$B$14=26,14,7)))</f>
        <v>49126</v>
      </c>
      <c r="C98" s="2">
        <f t="shared" si="5"/>
        <v>550776.47553159622</v>
      </c>
      <c r="D98" s="2">
        <f>IF(A98="","",MIN('Loan Inputs'!$B$17,C98+E98)+H98)</f>
        <v>4311.533367807353</v>
      </c>
      <c r="E98" s="2">
        <f>IF(A98="","",C98*'Loan Inputs'!$B$15)</f>
        <v>2932.88473220575</v>
      </c>
      <c r="F98" s="2">
        <f t="shared" si="3"/>
        <v>1378.648635601603</v>
      </c>
      <c r="G98" s="2">
        <f t="shared" si="4"/>
        <v>549397.8268959946</v>
      </c>
      <c r="H98" s="2">
        <f>IF(A98="","",MIN('Loan Inputs'!$B$18,MAX(0,C98+E98-'Loan Inputs'!$B$17)))</f>
        <v>250</v>
      </c>
    </row>
    <row r="99" spans="1:8" ht="22" customHeight="1">
      <c r="A99" s="1">
        <f>IF(AND('Loan Inputs'!$B$12,93&lt;=IF('Loan Inputs'!$B$12,'Loan Inputs'!$B$7,0)*'Loan Inputs'!$B$14+5*'Loan Inputs'!$B$14,ISNUMBER(G98),G98&gt;0),93,"")</f>
        <v>93</v>
      </c>
      <c r="B99" s="4">
        <f>IF(A99="","",IF('Loan Inputs'!$B$14=12,DATE(YEAR('Loan Inputs'!$B$8),MONTH('Loan Inputs'!$B$8)+A99,DAY('Loan Inputs'!$B$8)),'Loan Inputs'!$B$8+A99*IF('Loan Inputs'!$B$14=26,14,7)))</f>
        <v>49157</v>
      </c>
      <c r="C99" s="2">
        <f t="shared" si="5"/>
        <v>549397.8268959946</v>
      </c>
      <c r="D99" s="2">
        <f>IF(A99="","",MIN('Loan Inputs'!$B$17,C99+E99)+H99)</f>
        <v>4311.533367807353</v>
      </c>
      <c r="E99" s="2">
        <f>IF(A99="","",C99*'Loan Inputs'!$B$15)</f>
        <v>2925.5434282211713</v>
      </c>
      <c r="F99" s="2">
        <f t="shared" si="3"/>
        <v>1385.9899395861817</v>
      </c>
      <c r="G99" s="2">
        <f t="shared" si="4"/>
        <v>548011.83695640846</v>
      </c>
      <c r="H99" s="2">
        <f>IF(A99="","",MIN('Loan Inputs'!$B$18,MAX(0,C99+E99-'Loan Inputs'!$B$17)))</f>
        <v>250</v>
      </c>
    </row>
    <row r="100" spans="1:8" ht="22" customHeight="1">
      <c r="A100" s="1">
        <f>IF(AND('Loan Inputs'!$B$12,94&lt;=IF('Loan Inputs'!$B$12,'Loan Inputs'!$B$7,0)*'Loan Inputs'!$B$14+5*'Loan Inputs'!$B$14,ISNUMBER(G99),G99&gt;0),94,"")</f>
        <v>94</v>
      </c>
      <c r="B100" s="4">
        <f>IF(A100="","",IF('Loan Inputs'!$B$14=12,DATE(YEAR('Loan Inputs'!$B$8),MONTH('Loan Inputs'!$B$8)+A100,DAY('Loan Inputs'!$B$8)),'Loan Inputs'!$B$8+A100*IF('Loan Inputs'!$B$14=26,14,7)))</f>
        <v>49188</v>
      </c>
      <c r="C100" s="2">
        <f t="shared" si="5"/>
        <v>548011.83695640846</v>
      </c>
      <c r="D100" s="2">
        <f>IF(A100="","",MIN('Loan Inputs'!$B$17,C100+E100)+H100)</f>
        <v>4311.533367807353</v>
      </c>
      <c r="E100" s="2">
        <f>IF(A100="","",C100*'Loan Inputs'!$B$15)</f>
        <v>2918.1630317928748</v>
      </c>
      <c r="F100" s="2">
        <f t="shared" si="3"/>
        <v>1393.3703360144782</v>
      </c>
      <c r="G100" s="2">
        <f t="shared" si="4"/>
        <v>546618.46662039403</v>
      </c>
      <c r="H100" s="2">
        <f>IF(A100="","",MIN('Loan Inputs'!$B$18,MAX(0,C100+E100-'Loan Inputs'!$B$17)))</f>
        <v>250</v>
      </c>
    </row>
    <row r="101" spans="1:8" ht="22" customHeight="1">
      <c r="A101" s="1">
        <f>IF(AND('Loan Inputs'!$B$12,95&lt;=IF('Loan Inputs'!$B$12,'Loan Inputs'!$B$7,0)*'Loan Inputs'!$B$14+5*'Loan Inputs'!$B$14,ISNUMBER(G100),G100&gt;0),95,"")</f>
        <v>95</v>
      </c>
      <c r="B101" s="4">
        <f>IF(A101="","",IF('Loan Inputs'!$B$14=12,DATE(YEAR('Loan Inputs'!$B$8),MONTH('Loan Inputs'!$B$8)+A101,DAY('Loan Inputs'!$B$8)),'Loan Inputs'!$B$8+A101*IF('Loan Inputs'!$B$14=26,14,7)))</f>
        <v>49218</v>
      </c>
      <c r="C101" s="2">
        <f t="shared" si="5"/>
        <v>546618.46662039403</v>
      </c>
      <c r="D101" s="2">
        <f>IF(A101="","",MIN('Loan Inputs'!$B$17,C101+E101)+H101)</f>
        <v>4311.533367807353</v>
      </c>
      <c r="E101" s="2">
        <f>IF(A101="","",C101*'Loan Inputs'!$B$15)</f>
        <v>2910.743334753598</v>
      </c>
      <c r="F101" s="2">
        <f t="shared" si="3"/>
        <v>1400.790033053755</v>
      </c>
      <c r="G101" s="2">
        <f t="shared" si="4"/>
        <v>545217.67658734031</v>
      </c>
      <c r="H101" s="2">
        <f>IF(A101="","",MIN('Loan Inputs'!$B$18,MAX(0,C101+E101-'Loan Inputs'!$B$17)))</f>
        <v>250</v>
      </c>
    </row>
    <row r="102" spans="1:8" ht="22" customHeight="1">
      <c r="A102" s="1">
        <f>IF(AND('Loan Inputs'!$B$12,96&lt;=IF('Loan Inputs'!$B$12,'Loan Inputs'!$B$7,0)*'Loan Inputs'!$B$14+5*'Loan Inputs'!$B$14,ISNUMBER(G101),G101&gt;0),96,"")</f>
        <v>96</v>
      </c>
      <c r="B102" s="4">
        <f>IF(A102="","",IF('Loan Inputs'!$B$14=12,DATE(YEAR('Loan Inputs'!$B$8),MONTH('Loan Inputs'!$B$8)+A102,DAY('Loan Inputs'!$B$8)),'Loan Inputs'!$B$8+A102*IF('Loan Inputs'!$B$14=26,14,7)))</f>
        <v>49249</v>
      </c>
      <c r="C102" s="2">
        <f t="shared" si="5"/>
        <v>545217.67658734031</v>
      </c>
      <c r="D102" s="2">
        <f>IF(A102="","",MIN('Loan Inputs'!$B$17,C102+E102)+H102)</f>
        <v>4311.533367807353</v>
      </c>
      <c r="E102" s="2">
        <f>IF(A102="","",C102*'Loan Inputs'!$B$15)</f>
        <v>2903.2841278275869</v>
      </c>
      <c r="F102" s="2">
        <f t="shared" si="3"/>
        <v>1408.2492399797661</v>
      </c>
      <c r="G102" s="2">
        <f t="shared" si="4"/>
        <v>543809.42734736053</v>
      </c>
      <c r="H102" s="2">
        <f>IF(A102="","",MIN('Loan Inputs'!$B$18,MAX(0,C102+E102-'Loan Inputs'!$B$17)))</f>
        <v>250</v>
      </c>
    </row>
    <row r="103" spans="1:8" ht="22" customHeight="1">
      <c r="A103" s="1">
        <f>IF(AND('Loan Inputs'!$B$12,97&lt;=IF('Loan Inputs'!$B$12,'Loan Inputs'!$B$7,0)*'Loan Inputs'!$B$14+5*'Loan Inputs'!$B$14,ISNUMBER(G102),G102&gt;0),97,"")</f>
        <v>97</v>
      </c>
      <c r="B103" s="4">
        <f>IF(A103="","",IF('Loan Inputs'!$B$14=12,DATE(YEAR('Loan Inputs'!$B$8),MONTH('Loan Inputs'!$B$8)+A103,DAY('Loan Inputs'!$B$8)),'Loan Inputs'!$B$8+A103*IF('Loan Inputs'!$B$14=26,14,7)))</f>
        <v>49279</v>
      </c>
      <c r="C103" s="2">
        <f t="shared" si="5"/>
        <v>543809.42734736053</v>
      </c>
      <c r="D103" s="2">
        <f>IF(A103="","",MIN('Loan Inputs'!$B$17,C103+E103)+H103)</f>
        <v>4311.533367807353</v>
      </c>
      <c r="E103" s="2">
        <f>IF(A103="","",C103*'Loan Inputs'!$B$15)</f>
        <v>2895.7852006246949</v>
      </c>
      <c r="F103" s="2">
        <f t="shared" si="3"/>
        <v>1415.7481671826581</v>
      </c>
      <c r="G103" s="2">
        <f t="shared" si="4"/>
        <v>542393.67918017786</v>
      </c>
      <c r="H103" s="2">
        <f>IF(A103="","",MIN('Loan Inputs'!$B$18,MAX(0,C103+E103-'Loan Inputs'!$B$17)))</f>
        <v>250</v>
      </c>
    </row>
    <row r="104" spans="1:8" ht="22" customHeight="1">
      <c r="A104" s="1">
        <f>IF(AND('Loan Inputs'!$B$12,98&lt;=IF('Loan Inputs'!$B$12,'Loan Inputs'!$B$7,0)*'Loan Inputs'!$B$14+5*'Loan Inputs'!$B$14,ISNUMBER(G103),G103&gt;0),98,"")</f>
        <v>98</v>
      </c>
      <c r="B104" s="4">
        <f>IF(A104="","",IF('Loan Inputs'!$B$14=12,DATE(YEAR('Loan Inputs'!$B$8),MONTH('Loan Inputs'!$B$8)+A104,DAY('Loan Inputs'!$B$8)),'Loan Inputs'!$B$8+A104*IF('Loan Inputs'!$B$14=26,14,7)))</f>
        <v>49310</v>
      </c>
      <c r="C104" s="2">
        <f t="shared" si="5"/>
        <v>542393.67918017786</v>
      </c>
      <c r="D104" s="2">
        <f>IF(A104="","",MIN('Loan Inputs'!$B$17,C104+E104)+H104)</f>
        <v>4311.533367807353</v>
      </c>
      <c r="E104" s="2">
        <f>IF(A104="","",C104*'Loan Inputs'!$B$15)</f>
        <v>2888.2463416344472</v>
      </c>
      <c r="F104" s="2">
        <f t="shared" si="3"/>
        <v>1423.2870261729058</v>
      </c>
      <c r="G104" s="2">
        <f t="shared" si="4"/>
        <v>540970.39215400501</v>
      </c>
      <c r="H104" s="2">
        <f>IF(A104="","",MIN('Loan Inputs'!$B$18,MAX(0,C104+E104-'Loan Inputs'!$B$17)))</f>
        <v>250</v>
      </c>
    </row>
    <row r="105" spans="1:8" ht="22" customHeight="1">
      <c r="A105" s="1">
        <f>IF(AND('Loan Inputs'!$B$12,99&lt;=IF('Loan Inputs'!$B$12,'Loan Inputs'!$B$7,0)*'Loan Inputs'!$B$14+5*'Loan Inputs'!$B$14,ISNUMBER(G104),G104&gt;0),99,"")</f>
        <v>99</v>
      </c>
      <c r="B105" s="4">
        <f>IF(A105="","",IF('Loan Inputs'!$B$14=12,DATE(YEAR('Loan Inputs'!$B$8),MONTH('Loan Inputs'!$B$8)+A105,DAY('Loan Inputs'!$B$8)),'Loan Inputs'!$B$8+A105*IF('Loan Inputs'!$B$14=26,14,7)))</f>
        <v>49341</v>
      </c>
      <c r="C105" s="2">
        <f t="shared" si="5"/>
        <v>540970.39215400501</v>
      </c>
      <c r="D105" s="2">
        <f>IF(A105="","",MIN('Loan Inputs'!$B$17,C105+E105)+H105)</f>
        <v>4311.533367807353</v>
      </c>
      <c r="E105" s="2">
        <f>IF(A105="","",C105*'Loan Inputs'!$B$15)</f>
        <v>2880.6673382200765</v>
      </c>
      <c r="F105" s="2">
        <f t="shared" si="3"/>
        <v>1430.8660295872764</v>
      </c>
      <c r="G105" s="2">
        <f t="shared" si="4"/>
        <v>539539.52612441778</v>
      </c>
      <c r="H105" s="2">
        <f>IF(A105="","",MIN('Loan Inputs'!$B$18,MAX(0,C105+E105-'Loan Inputs'!$B$17)))</f>
        <v>250</v>
      </c>
    </row>
    <row r="106" spans="1:8" ht="22" customHeight="1">
      <c r="A106" s="1">
        <f>IF(AND('Loan Inputs'!$B$12,100&lt;=IF('Loan Inputs'!$B$12,'Loan Inputs'!$B$7,0)*'Loan Inputs'!$B$14+5*'Loan Inputs'!$B$14,ISNUMBER(G105),G105&gt;0),100,"")</f>
        <v>100</v>
      </c>
      <c r="B106" s="4">
        <f>IF(A106="","",IF('Loan Inputs'!$B$14=12,DATE(YEAR('Loan Inputs'!$B$8),MONTH('Loan Inputs'!$B$8)+A106,DAY('Loan Inputs'!$B$8)),'Loan Inputs'!$B$8+A106*IF('Loan Inputs'!$B$14=26,14,7)))</f>
        <v>49369</v>
      </c>
      <c r="C106" s="2">
        <f t="shared" si="5"/>
        <v>539539.52612441778</v>
      </c>
      <c r="D106" s="2">
        <f>IF(A106="","",MIN('Loan Inputs'!$B$17,C106+E106)+H106)</f>
        <v>4311.533367807353</v>
      </c>
      <c r="E106" s="2">
        <f>IF(A106="","",C106*'Loan Inputs'!$B$15)</f>
        <v>2873.0479766125245</v>
      </c>
      <c r="F106" s="2">
        <f t="shared" si="3"/>
        <v>1438.4853911948285</v>
      </c>
      <c r="G106" s="2">
        <f t="shared" si="4"/>
        <v>538101.04073322297</v>
      </c>
      <c r="H106" s="2">
        <f>IF(A106="","",MIN('Loan Inputs'!$B$18,MAX(0,C106+E106-'Loan Inputs'!$B$17)))</f>
        <v>250</v>
      </c>
    </row>
    <row r="107" spans="1:8" ht="22" customHeight="1">
      <c r="A107" s="1">
        <f>IF(AND('Loan Inputs'!$B$12,101&lt;=IF('Loan Inputs'!$B$12,'Loan Inputs'!$B$7,0)*'Loan Inputs'!$B$14+5*'Loan Inputs'!$B$14,ISNUMBER(G106),G106&gt;0),101,"")</f>
        <v>101</v>
      </c>
      <c r="B107" s="4">
        <f>IF(A107="","",IF('Loan Inputs'!$B$14=12,DATE(YEAR('Loan Inputs'!$B$8),MONTH('Loan Inputs'!$B$8)+A107,DAY('Loan Inputs'!$B$8)),'Loan Inputs'!$B$8+A107*IF('Loan Inputs'!$B$14=26,14,7)))</f>
        <v>49400</v>
      </c>
      <c r="C107" s="2">
        <f t="shared" si="5"/>
        <v>538101.04073322297</v>
      </c>
      <c r="D107" s="2">
        <f>IF(A107="","",MIN('Loan Inputs'!$B$17,C107+E107)+H107)</f>
        <v>4311.533367807353</v>
      </c>
      <c r="E107" s="2">
        <f>IF(A107="","",C107*'Loan Inputs'!$B$15)</f>
        <v>2865.3880419044121</v>
      </c>
      <c r="F107" s="2">
        <f t="shared" si="3"/>
        <v>1446.1453259029408</v>
      </c>
      <c r="G107" s="2">
        <f t="shared" si="4"/>
        <v>536654.89540732</v>
      </c>
      <c r="H107" s="2">
        <f>IF(A107="","",MIN('Loan Inputs'!$B$18,MAX(0,C107+E107-'Loan Inputs'!$B$17)))</f>
        <v>250</v>
      </c>
    </row>
    <row r="108" spans="1:8" ht="22" customHeight="1">
      <c r="A108" s="1">
        <f>IF(AND('Loan Inputs'!$B$12,102&lt;=IF('Loan Inputs'!$B$12,'Loan Inputs'!$B$7,0)*'Loan Inputs'!$B$14+5*'Loan Inputs'!$B$14,ISNUMBER(G107),G107&gt;0),102,"")</f>
        <v>102</v>
      </c>
      <c r="B108" s="4">
        <f>IF(A108="","",IF('Loan Inputs'!$B$14=12,DATE(YEAR('Loan Inputs'!$B$8),MONTH('Loan Inputs'!$B$8)+A108,DAY('Loan Inputs'!$B$8)),'Loan Inputs'!$B$8+A108*IF('Loan Inputs'!$B$14=26,14,7)))</f>
        <v>49430</v>
      </c>
      <c r="C108" s="2">
        <f t="shared" si="5"/>
        <v>536654.89540732</v>
      </c>
      <c r="D108" s="2">
        <f>IF(A108="","",MIN('Loan Inputs'!$B$17,C108+E108)+H108)</f>
        <v>4311.533367807353</v>
      </c>
      <c r="E108" s="2">
        <f>IF(A108="","",C108*'Loan Inputs'!$B$15)</f>
        <v>2857.6873180439788</v>
      </c>
      <c r="F108" s="2">
        <f t="shared" si="3"/>
        <v>1453.8460497633741</v>
      </c>
      <c r="G108" s="2">
        <f t="shared" si="4"/>
        <v>535201.04935755662</v>
      </c>
      <c r="H108" s="2">
        <f>IF(A108="","",MIN('Loan Inputs'!$B$18,MAX(0,C108+E108-'Loan Inputs'!$B$17)))</f>
        <v>250</v>
      </c>
    </row>
    <row r="109" spans="1:8" ht="22" customHeight="1">
      <c r="A109" s="1">
        <f>IF(AND('Loan Inputs'!$B$12,103&lt;=IF('Loan Inputs'!$B$12,'Loan Inputs'!$B$7,0)*'Loan Inputs'!$B$14+5*'Loan Inputs'!$B$14,ISNUMBER(G108),G108&gt;0),103,"")</f>
        <v>103</v>
      </c>
      <c r="B109" s="4">
        <f>IF(A109="","",IF('Loan Inputs'!$B$14=12,DATE(YEAR('Loan Inputs'!$B$8),MONTH('Loan Inputs'!$B$8)+A109,DAY('Loan Inputs'!$B$8)),'Loan Inputs'!$B$8+A109*IF('Loan Inputs'!$B$14=26,14,7)))</f>
        <v>49461</v>
      </c>
      <c r="C109" s="2">
        <f t="shared" si="5"/>
        <v>535201.04935755662</v>
      </c>
      <c r="D109" s="2">
        <f>IF(A109="","",MIN('Loan Inputs'!$B$17,C109+E109)+H109)</f>
        <v>4311.533367807353</v>
      </c>
      <c r="E109" s="2">
        <f>IF(A109="","",C109*'Loan Inputs'!$B$15)</f>
        <v>2849.9455878289891</v>
      </c>
      <c r="F109" s="2">
        <f t="shared" si="3"/>
        <v>1461.5877799783639</v>
      </c>
      <c r="G109" s="2">
        <f t="shared" si="4"/>
        <v>533739.46157757821</v>
      </c>
      <c r="H109" s="2">
        <f>IF(A109="","",MIN('Loan Inputs'!$B$18,MAX(0,C109+E109-'Loan Inputs'!$B$17)))</f>
        <v>250</v>
      </c>
    </row>
    <row r="110" spans="1:8" ht="22" customHeight="1">
      <c r="A110" s="1">
        <f>IF(AND('Loan Inputs'!$B$12,104&lt;=IF('Loan Inputs'!$B$12,'Loan Inputs'!$B$7,0)*'Loan Inputs'!$B$14+5*'Loan Inputs'!$B$14,ISNUMBER(G109),G109&gt;0),104,"")</f>
        <v>104</v>
      </c>
      <c r="B110" s="4">
        <f>IF(A110="","",IF('Loan Inputs'!$B$14=12,DATE(YEAR('Loan Inputs'!$B$8),MONTH('Loan Inputs'!$B$8)+A110,DAY('Loan Inputs'!$B$8)),'Loan Inputs'!$B$8+A110*IF('Loan Inputs'!$B$14=26,14,7)))</f>
        <v>49491</v>
      </c>
      <c r="C110" s="2">
        <f t="shared" si="5"/>
        <v>533739.46157757821</v>
      </c>
      <c r="D110" s="2">
        <f>IF(A110="","",MIN('Loan Inputs'!$B$17,C110+E110)+H110)</f>
        <v>4311.533367807353</v>
      </c>
      <c r="E110" s="2">
        <f>IF(A110="","",C110*'Loan Inputs'!$B$15)</f>
        <v>2842.162632900604</v>
      </c>
      <c r="F110" s="2">
        <f t="shared" si="3"/>
        <v>1469.370734906749</v>
      </c>
      <c r="G110" s="2">
        <f t="shared" si="4"/>
        <v>532270.09084267146</v>
      </c>
      <c r="H110" s="2">
        <f>IF(A110="","",MIN('Loan Inputs'!$B$18,MAX(0,C110+E110-'Loan Inputs'!$B$17)))</f>
        <v>250</v>
      </c>
    </row>
    <row r="111" spans="1:8" ht="22" customHeight="1">
      <c r="A111" s="1">
        <f>IF(AND('Loan Inputs'!$B$12,105&lt;=IF('Loan Inputs'!$B$12,'Loan Inputs'!$B$7,0)*'Loan Inputs'!$B$14+5*'Loan Inputs'!$B$14,ISNUMBER(G110),G110&gt;0),105,"")</f>
        <v>105</v>
      </c>
      <c r="B111" s="4">
        <f>IF(A111="","",IF('Loan Inputs'!$B$14=12,DATE(YEAR('Loan Inputs'!$B$8),MONTH('Loan Inputs'!$B$8)+A111,DAY('Loan Inputs'!$B$8)),'Loan Inputs'!$B$8+A111*IF('Loan Inputs'!$B$14=26,14,7)))</f>
        <v>49522</v>
      </c>
      <c r="C111" s="2">
        <f t="shared" si="5"/>
        <v>532270.09084267146</v>
      </c>
      <c r="D111" s="2">
        <f>IF(A111="","",MIN('Loan Inputs'!$B$17,C111+E111)+H111)</f>
        <v>4311.533367807353</v>
      </c>
      <c r="E111" s="2">
        <f>IF(A111="","",C111*'Loan Inputs'!$B$15)</f>
        <v>2834.3382337372254</v>
      </c>
      <c r="F111" s="2">
        <f t="shared" si="3"/>
        <v>1477.1951340701276</v>
      </c>
      <c r="G111" s="2">
        <f t="shared" si="4"/>
        <v>530792.89570860134</v>
      </c>
      <c r="H111" s="2">
        <f>IF(A111="","",MIN('Loan Inputs'!$B$18,MAX(0,C111+E111-'Loan Inputs'!$B$17)))</f>
        <v>250</v>
      </c>
    </row>
    <row r="112" spans="1:8" ht="22" customHeight="1">
      <c r="A112" s="1">
        <f>IF(AND('Loan Inputs'!$B$12,106&lt;=IF('Loan Inputs'!$B$12,'Loan Inputs'!$B$7,0)*'Loan Inputs'!$B$14+5*'Loan Inputs'!$B$14,ISNUMBER(G111),G111&gt;0),106,"")</f>
        <v>106</v>
      </c>
      <c r="B112" s="4">
        <f>IF(A112="","",IF('Loan Inputs'!$B$14=12,DATE(YEAR('Loan Inputs'!$B$8),MONTH('Loan Inputs'!$B$8)+A112,DAY('Loan Inputs'!$B$8)),'Loan Inputs'!$B$8+A112*IF('Loan Inputs'!$B$14=26,14,7)))</f>
        <v>49553</v>
      </c>
      <c r="C112" s="2">
        <f t="shared" si="5"/>
        <v>530792.89570860134</v>
      </c>
      <c r="D112" s="2">
        <f>IF(A112="","",MIN('Loan Inputs'!$B$17,C112+E112)+H112)</f>
        <v>4311.533367807353</v>
      </c>
      <c r="E112" s="2">
        <f>IF(A112="","",C112*'Loan Inputs'!$B$15)</f>
        <v>2826.472169648302</v>
      </c>
      <c r="F112" s="2">
        <f t="shared" si="3"/>
        <v>1485.0611981590509</v>
      </c>
      <c r="G112" s="2">
        <f t="shared" si="4"/>
        <v>529307.83451044234</v>
      </c>
      <c r="H112" s="2">
        <f>IF(A112="","",MIN('Loan Inputs'!$B$18,MAX(0,C112+E112-'Loan Inputs'!$B$17)))</f>
        <v>250</v>
      </c>
    </row>
    <row r="113" spans="1:8" ht="22" customHeight="1">
      <c r="A113" s="1">
        <f>IF(AND('Loan Inputs'!$B$12,107&lt;=IF('Loan Inputs'!$B$12,'Loan Inputs'!$B$7,0)*'Loan Inputs'!$B$14+5*'Loan Inputs'!$B$14,ISNUMBER(G112),G112&gt;0),107,"")</f>
        <v>107</v>
      </c>
      <c r="B113" s="4">
        <f>IF(A113="","",IF('Loan Inputs'!$B$14=12,DATE(YEAR('Loan Inputs'!$B$8),MONTH('Loan Inputs'!$B$8)+A113,DAY('Loan Inputs'!$B$8)),'Loan Inputs'!$B$8+A113*IF('Loan Inputs'!$B$14=26,14,7)))</f>
        <v>49583</v>
      </c>
      <c r="C113" s="2">
        <f t="shared" si="5"/>
        <v>529307.83451044234</v>
      </c>
      <c r="D113" s="2">
        <f>IF(A113="","",MIN('Loan Inputs'!$B$17,C113+E113)+H113)</f>
        <v>4311.533367807353</v>
      </c>
      <c r="E113" s="2">
        <f>IF(A113="","",C113*'Loan Inputs'!$B$15)</f>
        <v>2818.5642187681055</v>
      </c>
      <c r="F113" s="2">
        <f t="shared" si="3"/>
        <v>1492.9691490392474</v>
      </c>
      <c r="G113" s="2">
        <f t="shared" si="4"/>
        <v>527814.86536140309</v>
      </c>
      <c r="H113" s="2">
        <f>IF(A113="","",MIN('Loan Inputs'!$B$18,MAX(0,C113+E113-'Loan Inputs'!$B$17)))</f>
        <v>250</v>
      </c>
    </row>
    <row r="114" spans="1:8" ht="22" customHeight="1">
      <c r="A114" s="1">
        <f>IF(AND('Loan Inputs'!$B$12,108&lt;=IF('Loan Inputs'!$B$12,'Loan Inputs'!$B$7,0)*'Loan Inputs'!$B$14+5*'Loan Inputs'!$B$14,ISNUMBER(G113),G113&gt;0),108,"")</f>
        <v>108</v>
      </c>
      <c r="B114" s="4">
        <f>IF(A114="","",IF('Loan Inputs'!$B$14=12,DATE(YEAR('Loan Inputs'!$B$8),MONTH('Loan Inputs'!$B$8)+A114,DAY('Loan Inputs'!$B$8)),'Loan Inputs'!$B$8+A114*IF('Loan Inputs'!$B$14=26,14,7)))</f>
        <v>49614</v>
      </c>
      <c r="C114" s="2">
        <f t="shared" si="5"/>
        <v>527814.86536140309</v>
      </c>
      <c r="D114" s="2">
        <f>IF(A114="","",MIN('Loan Inputs'!$B$17,C114+E114)+H114)</f>
        <v>4311.533367807353</v>
      </c>
      <c r="E114" s="2">
        <f>IF(A114="","",C114*'Loan Inputs'!$B$15)</f>
        <v>2810.6141580494714</v>
      </c>
      <c r="F114" s="2">
        <f t="shared" si="3"/>
        <v>1500.9192097578816</v>
      </c>
      <c r="G114" s="2">
        <f t="shared" si="4"/>
        <v>526313.94615164516</v>
      </c>
      <c r="H114" s="2">
        <f>IF(A114="","",MIN('Loan Inputs'!$B$18,MAX(0,C114+E114-'Loan Inputs'!$B$17)))</f>
        <v>250</v>
      </c>
    </row>
    <row r="115" spans="1:8" ht="22" customHeight="1">
      <c r="A115" s="1">
        <f>IF(AND('Loan Inputs'!$B$12,109&lt;=IF('Loan Inputs'!$B$12,'Loan Inputs'!$B$7,0)*'Loan Inputs'!$B$14+5*'Loan Inputs'!$B$14,ISNUMBER(G114),G114&gt;0),109,"")</f>
        <v>109</v>
      </c>
      <c r="B115" s="4">
        <f>IF(A115="","",IF('Loan Inputs'!$B$14=12,DATE(YEAR('Loan Inputs'!$B$8),MONTH('Loan Inputs'!$B$8)+A115,DAY('Loan Inputs'!$B$8)),'Loan Inputs'!$B$8+A115*IF('Loan Inputs'!$B$14=26,14,7)))</f>
        <v>49644</v>
      </c>
      <c r="C115" s="2">
        <f t="shared" si="5"/>
        <v>526313.94615164516</v>
      </c>
      <c r="D115" s="2">
        <f>IF(A115="","",MIN('Loan Inputs'!$B$17,C115+E115)+H115)</f>
        <v>4311.533367807353</v>
      </c>
      <c r="E115" s="2">
        <f>IF(A115="","",C115*'Loan Inputs'!$B$15)</f>
        <v>2802.6217632575103</v>
      </c>
      <c r="F115" s="2">
        <f t="shared" si="3"/>
        <v>1508.9116045498427</v>
      </c>
      <c r="G115" s="2">
        <f t="shared" si="4"/>
        <v>524805.0345470953</v>
      </c>
      <c r="H115" s="2">
        <f>IF(A115="","",MIN('Loan Inputs'!$B$18,MAX(0,C115+E115-'Loan Inputs'!$B$17)))</f>
        <v>250</v>
      </c>
    </row>
    <row r="116" spans="1:8" ht="22" customHeight="1">
      <c r="A116" s="1">
        <f>IF(AND('Loan Inputs'!$B$12,110&lt;=IF('Loan Inputs'!$B$12,'Loan Inputs'!$B$7,0)*'Loan Inputs'!$B$14+5*'Loan Inputs'!$B$14,ISNUMBER(G115),G115&gt;0),110,"")</f>
        <v>110</v>
      </c>
      <c r="B116" s="4">
        <f>IF(A116="","",IF('Loan Inputs'!$B$14=12,DATE(YEAR('Loan Inputs'!$B$8),MONTH('Loan Inputs'!$B$8)+A116,DAY('Loan Inputs'!$B$8)),'Loan Inputs'!$B$8+A116*IF('Loan Inputs'!$B$14=26,14,7)))</f>
        <v>49675</v>
      </c>
      <c r="C116" s="2">
        <f t="shared" si="5"/>
        <v>524805.0345470953</v>
      </c>
      <c r="D116" s="2">
        <f>IF(A116="","",MIN('Loan Inputs'!$B$17,C116+E116)+H116)</f>
        <v>4311.533367807353</v>
      </c>
      <c r="E116" s="2">
        <f>IF(A116="","",C116*'Loan Inputs'!$B$15)</f>
        <v>2794.5868089632822</v>
      </c>
      <c r="F116" s="2">
        <f t="shared" si="3"/>
        <v>1516.9465588440708</v>
      </c>
      <c r="G116" s="2">
        <f t="shared" si="4"/>
        <v>523288.08798825124</v>
      </c>
      <c r="H116" s="2">
        <f>IF(A116="","",MIN('Loan Inputs'!$B$18,MAX(0,C116+E116-'Loan Inputs'!$B$17)))</f>
        <v>250</v>
      </c>
    </row>
    <row r="117" spans="1:8" ht="22" customHeight="1">
      <c r="A117" s="1">
        <f>IF(AND('Loan Inputs'!$B$12,111&lt;=IF('Loan Inputs'!$B$12,'Loan Inputs'!$B$7,0)*'Loan Inputs'!$B$14+5*'Loan Inputs'!$B$14,ISNUMBER(G116),G116&gt;0),111,"")</f>
        <v>111</v>
      </c>
      <c r="B117" s="4">
        <f>IF(A117="","",IF('Loan Inputs'!$B$14=12,DATE(YEAR('Loan Inputs'!$B$8),MONTH('Loan Inputs'!$B$8)+A117,DAY('Loan Inputs'!$B$8)),'Loan Inputs'!$B$8+A117*IF('Loan Inputs'!$B$14=26,14,7)))</f>
        <v>49706</v>
      </c>
      <c r="C117" s="2">
        <f t="shared" si="5"/>
        <v>523288.08798825124</v>
      </c>
      <c r="D117" s="2">
        <f>IF(A117="","",MIN('Loan Inputs'!$B$17,C117+E117)+H117)</f>
        <v>4311.533367807353</v>
      </c>
      <c r="E117" s="2">
        <f>IF(A117="","",C117*'Loan Inputs'!$B$15)</f>
        <v>2786.509068537438</v>
      </c>
      <c r="F117" s="2">
        <f t="shared" si="3"/>
        <v>1525.024299269915</v>
      </c>
      <c r="G117" s="2">
        <f t="shared" si="4"/>
        <v>521763.06368898135</v>
      </c>
      <c r="H117" s="2">
        <f>IF(A117="","",MIN('Loan Inputs'!$B$18,MAX(0,C117+E117-'Loan Inputs'!$B$17)))</f>
        <v>250</v>
      </c>
    </row>
    <row r="118" spans="1:8" ht="22" customHeight="1">
      <c r="A118" s="1">
        <f>IF(AND('Loan Inputs'!$B$12,112&lt;=IF('Loan Inputs'!$B$12,'Loan Inputs'!$B$7,0)*'Loan Inputs'!$B$14+5*'Loan Inputs'!$B$14,ISNUMBER(G117),G117&gt;0),112,"")</f>
        <v>112</v>
      </c>
      <c r="B118" s="4">
        <f>IF(A118="","",IF('Loan Inputs'!$B$14=12,DATE(YEAR('Loan Inputs'!$B$8),MONTH('Loan Inputs'!$B$8)+A118,DAY('Loan Inputs'!$B$8)),'Loan Inputs'!$B$8+A118*IF('Loan Inputs'!$B$14=26,14,7)))</f>
        <v>49735</v>
      </c>
      <c r="C118" s="2">
        <f t="shared" si="5"/>
        <v>521763.06368898135</v>
      </c>
      <c r="D118" s="2">
        <f>IF(A118="","",MIN('Loan Inputs'!$B$17,C118+E118)+H118)</f>
        <v>4311.533367807353</v>
      </c>
      <c r="E118" s="2">
        <f>IF(A118="","",C118*'Loan Inputs'!$B$15)</f>
        <v>2778.3883141438255</v>
      </c>
      <c r="F118" s="2">
        <f t="shared" si="3"/>
        <v>1533.1450536635275</v>
      </c>
      <c r="G118" s="2">
        <f t="shared" si="4"/>
        <v>520229.91863531782</v>
      </c>
      <c r="H118" s="2">
        <f>IF(A118="","",MIN('Loan Inputs'!$B$18,MAX(0,C118+E118-'Loan Inputs'!$B$17)))</f>
        <v>250</v>
      </c>
    </row>
    <row r="119" spans="1:8" ht="22" customHeight="1">
      <c r="A119" s="1">
        <f>IF(AND('Loan Inputs'!$B$12,113&lt;=IF('Loan Inputs'!$B$12,'Loan Inputs'!$B$7,0)*'Loan Inputs'!$B$14+5*'Loan Inputs'!$B$14,ISNUMBER(G118),G118&gt;0),113,"")</f>
        <v>113</v>
      </c>
      <c r="B119" s="4">
        <f>IF(A119="","",IF('Loan Inputs'!$B$14=12,DATE(YEAR('Loan Inputs'!$B$8),MONTH('Loan Inputs'!$B$8)+A119,DAY('Loan Inputs'!$B$8)),'Loan Inputs'!$B$8+A119*IF('Loan Inputs'!$B$14=26,14,7)))</f>
        <v>49766</v>
      </c>
      <c r="C119" s="2">
        <f t="shared" si="5"/>
        <v>520229.91863531782</v>
      </c>
      <c r="D119" s="2">
        <f>IF(A119="","",MIN('Loan Inputs'!$B$17,C119+E119)+H119)</f>
        <v>4311.533367807353</v>
      </c>
      <c r="E119" s="2">
        <f>IF(A119="","",C119*'Loan Inputs'!$B$15)</f>
        <v>2770.2243167330676</v>
      </c>
      <c r="F119" s="2">
        <f t="shared" si="3"/>
        <v>1541.3090510742854</v>
      </c>
      <c r="G119" s="2">
        <f t="shared" si="4"/>
        <v>518688.60958424356</v>
      </c>
      <c r="H119" s="2">
        <f>IF(A119="","",MIN('Loan Inputs'!$B$18,MAX(0,C119+E119-'Loan Inputs'!$B$17)))</f>
        <v>250</v>
      </c>
    </row>
    <row r="120" spans="1:8" ht="22" customHeight="1">
      <c r="A120" s="1">
        <f>IF(AND('Loan Inputs'!$B$12,114&lt;=IF('Loan Inputs'!$B$12,'Loan Inputs'!$B$7,0)*'Loan Inputs'!$B$14+5*'Loan Inputs'!$B$14,ISNUMBER(G119),G119&gt;0),114,"")</f>
        <v>114</v>
      </c>
      <c r="B120" s="4">
        <f>IF(A120="","",IF('Loan Inputs'!$B$14=12,DATE(YEAR('Loan Inputs'!$B$8),MONTH('Loan Inputs'!$B$8)+A120,DAY('Loan Inputs'!$B$8)),'Loan Inputs'!$B$8+A120*IF('Loan Inputs'!$B$14=26,14,7)))</f>
        <v>49796</v>
      </c>
      <c r="C120" s="2">
        <f t="shared" si="5"/>
        <v>518688.60958424356</v>
      </c>
      <c r="D120" s="2">
        <f>IF(A120="","",MIN('Loan Inputs'!$B$17,C120+E120)+H120)</f>
        <v>4311.533367807353</v>
      </c>
      <c r="E120" s="2">
        <f>IF(A120="","",C120*'Loan Inputs'!$B$15)</f>
        <v>2762.0168460360969</v>
      </c>
      <c r="F120" s="2">
        <f t="shared" si="3"/>
        <v>1549.5165217712561</v>
      </c>
      <c r="G120" s="2">
        <f t="shared" si="4"/>
        <v>517139.0930624723</v>
      </c>
      <c r="H120" s="2">
        <f>IF(A120="","",MIN('Loan Inputs'!$B$18,MAX(0,C120+E120-'Loan Inputs'!$B$17)))</f>
        <v>250</v>
      </c>
    </row>
    <row r="121" spans="1:8" ht="22" customHeight="1">
      <c r="A121" s="1">
        <f>IF(AND('Loan Inputs'!$B$12,115&lt;=IF('Loan Inputs'!$B$12,'Loan Inputs'!$B$7,0)*'Loan Inputs'!$B$14+5*'Loan Inputs'!$B$14,ISNUMBER(G120),G120&gt;0),115,"")</f>
        <v>115</v>
      </c>
      <c r="B121" s="4">
        <f>IF(A121="","",IF('Loan Inputs'!$B$14=12,DATE(YEAR('Loan Inputs'!$B$8),MONTH('Loan Inputs'!$B$8)+A121,DAY('Loan Inputs'!$B$8)),'Loan Inputs'!$B$8+A121*IF('Loan Inputs'!$B$14=26,14,7)))</f>
        <v>49827</v>
      </c>
      <c r="C121" s="2">
        <f t="shared" si="5"/>
        <v>517139.0930624723</v>
      </c>
      <c r="D121" s="2">
        <f>IF(A121="","",MIN('Loan Inputs'!$B$17,C121+E121)+H121)</f>
        <v>4311.533367807353</v>
      </c>
      <c r="E121" s="2">
        <f>IF(A121="","",C121*'Loan Inputs'!$B$15)</f>
        <v>2753.7656705576651</v>
      </c>
      <c r="F121" s="2">
        <f t="shared" si="3"/>
        <v>1557.7676972496879</v>
      </c>
      <c r="G121" s="2">
        <f t="shared" si="4"/>
        <v>515581.32536522258</v>
      </c>
      <c r="H121" s="2">
        <f>IF(A121="","",MIN('Loan Inputs'!$B$18,MAX(0,C121+E121-'Loan Inputs'!$B$17)))</f>
        <v>250</v>
      </c>
    </row>
    <row r="122" spans="1:8" ht="22" customHeight="1">
      <c r="A122" s="1">
        <f>IF(AND('Loan Inputs'!$B$12,116&lt;=IF('Loan Inputs'!$B$12,'Loan Inputs'!$B$7,0)*'Loan Inputs'!$B$14+5*'Loan Inputs'!$B$14,ISNUMBER(G121),G121&gt;0),116,"")</f>
        <v>116</v>
      </c>
      <c r="B122" s="4">
        <f>IF(A122="","",IF('Loan Inputs'!$B$14=12,DATE(YEAR('Loan Inputs'!$B$8),MONTH('Loan Inputs'!$B$8)+A122,DAY('Loan Inputs'!$B$8)),'Loan Inputs'!$B$8+A122*IF('Loan Inputs'!$B$14=26,14,7)))</f>
        <v>49857</v>
      </c>
      <c r="C122" s="2">
        <f t="shared" si="5"/>
        <v>515581.32536522258</v>
      </c>
      <c r="D122" s="2">
        <f>IF(A122="","",MIN('Loan Inputs'!$B$17,C122+E122)+H122)</f>
        <v>4311.533367807353</v>
      </c>
      <c r="E122" s="2">
        <f>IF(A122="","",C122*'Loan Inputs'!$B$15)</f>
        <v>2745.4705575698104</v>
      </c>
      <c r="F122" s="2">
        <f t="shared" si="3"/>
        <v>1566.0628102375426</v>
      </c>
      <c r="G122" s="2">
        <f t="shared" si="4"/>
        <v>514015.26255498506</v>
      </c>
      <c r="H122" s="2">
        <f>IF(A122="","",MIN('Loan Inputs'!$B$18,MAX(0,C122+E122-'Loan Inputs'!$B$17)))</f>
        <v>250</v>
      </c>
    </row>
    <row r="123" spans="1:8" ht="22" customHeight="1">
      <c r="A123" s="1">
        <f>IF(AND('Loan Inputs'!$B$12,117&lt;=IF('Loan Inputs'!$B$12,'Loan Inputs'!$B$7,0)*'Loan Inputs'!$B$14+5*'Loan Inputs'!$B$14,ISNUMBER(G122),G122&gt;0),117,"")</f>
        <v>117</v>
      </c>
      <c r="B123" s="4">
        <f>IF(A123="","",IF('Loan Inputs'!$B$14=12,DATE(YEAR('Loan Inputs'!$B$8),MONTH('Loan Inputs'!$B$8)+A123,DAY('Loan Inputs'!$B$8)),'Loan Inputs'!$B$8+A123*IF('Loan Inputs'!$B$14=26,14,7)))</f>
        <v>49888</v>
      </c>
      <c r="C123" s="2">
        <f t="shared" si="5"/>
        <v>514015.26255498506</v>
      </c>
      <c r="D123" s="2">
        <f>IF(A123="","",MIN('Loan Inputs'!$B$17,C123+E123)+H123)</f>
        <v>4311.533367807353</v>
      </c>
      <c r="E123" s="2">
        <f>IF(A123="","",C123*'Loan Inputs'!$B$15)</f>
        <v>2737.1312731052953</v>
      </c>
      <c r="F123" s="2">
        <f t="shared" si="3"/>
        <v>1574.4020947020576</v>
      </c>
      <c r="G123" s="2">
        <f t="shared" si="4"/>
        <v>512440.860460283</v>
      </c>
      <c r="H123" s="2">
        <f>IF(A123="","",MIN('Loan Inputs'!$B$18,MAX(0,C123+E123-'Loan Inputs'!$B$17)))</f>
        <v>250</v>
      </c>
    </row>
    <row r="124" spans="1:8" ht="22" customHeight="1">
      <c r="A124" s="1">
        <f>IF(AND('Loan Inputs'!$B$12,118&lt;=IF('Loan Inputs'!$B$12,'Loan Inputs'!$B$7,0)*'Loan Inputs'!$B$14+5*'Loan Inputs'!$B$14,ISNUMBER(G123),G123&gt;0),118,"")</f>
        <v>118</v>
      </c>
      <c r="B124" s="4">
        <f>IF(A124="","",IF('Loan Inputs'!$B$14=12,DATE(YEAR('Loan Inputs'!$B$8),MONTH('Loan Inputs'!$B$8)+A124,DAY('Loan Inputs'!$B$8)),'Loan Inputs'!$B$8+A124*IF('Loan Inputs'!$B$14=26,14,7)))</f>
        <v>49919</v>
      </c>
      <c r="C124" s="2">
        <f t="shared" si="5"/>
        <v>512440.860460283</v>
      </c>
      <c r="D124" s="2">
        <f>IF(A124="","",MIN('Loan Inputs'!$B$17,C124+E124)+H124)</f>
        <v>4311.533367807353</v>
      </c>
      <c r="E124" s="2">
        <f>IF(A124="","",C124*'Loan Inputs'!$B$15)</f>
        <v>2728.7475819510069</v>
      </c>
      <c r="F124" s="2">
        <f t="shared" si="3"/>
        <v>1582.7857858563461</v>
      </c>
      <c r="G124" s="2">
        <f t="shared" si="4"/>
        <v>510858.07467442664</v>
      </c>
      <c r="H124" s="2">
        <f>IF(A124="","",MIN('Loan Inputs'!$B$18,MAX(0,C124+E124-'Loan Inputs'!$B$17)))</f>
        <v>250</v>
      </c>
    </row>
    <row r="125" spans="1:8" ht="22" customHeight="1">
      <c r="A125" s="1">
        <f>IF(AND('Loan Inputs'!$B$12,119&lt;=IF('Loan Inputs'!$B$12,'Loan Inputs'!$B$7,0)*'Loan Inputs'!$B$14+5*'Loan Inputs'!$B$14,ISNUMBER(G124),G124&gt;0),119,"")</f>
        <v>119</v>
      </c>
      <c r="B125" s="4">
        <f>IF(A125="","",IF('Loan Inputs'!$B$14=12,DATE(YEAR('Loan Inputs'!$B$8),MONTH('Loan Inputs'!$B$8)+A125,DAY('Loan Inputs'!$B$8)),'Loan Inputs'!$B$8+A125*IF('Loan Inputs'!$B$14=26,14,7)))</f>
        <v>49949</v>
      </c>
      <c r="C125" s="2">
        <f t="shared" si="5"/>
        <v>510858.07467442664</v>
      </c>
      <c r="D125" s="2">
        <f>IF(A125="","",MIN('Loan Inputs'!$B$17,C125+E125)+H125)</f>
        <v>4311.533367807353</v>
      </c>
      <c r="E125" s="2">
        <f>IF(A125="","",C125*'Loan Inputs'!$B$15)</f>
        <v>2720.3192476413219</v>
      </c>
      <c r="F125" s="2">
        <f t="shared" si="3"/>
        <v>1591.2141201660311</v>
      </c>
      <c r="G125" s="2">
        <f t="shared" si="4"/>
        <v>509266.86055426061</v>
      </c>
      <c r="H125" s="2">
        <f>IF(A125="","",MIN('Loan Inputs'!$B$18,MAX(0,C125+E125-'Loan Inputs'!$B$17)))</f>
        <v>250</v>
      </c>
    </row>
    <row r="126" spans="1:8" ht="22" customHeight="1">
      <c r="A126" s="1">
        <f>IF(AND('Loan Inputs'!$B$12,120&lt;=IF('Loan Inputs'!$B$12,'Loan Inputs'!$B$7,0)*'Loan Inputs'!$B$14+5*'Loan Inputs'!$B$14,ISNUMBER(G125),G125&gt;0),120,"")</f>
        <v>120</v>
      </c>
      <c r="B126" s="4">
        <f>IF(A126="","",IF('Loan Inputs'!$B$14=12,DATE(YEAR('Loan Inputs'!$B$8),MONTH('Loan Inputs'!$B$8)+A126,DAY('Loan Inputs'!$B$8)),'Loan Inputs'!$B$8+A126*IF('Loan Inputs'!$B$14=26,14,7)))</f>
        <v>49980</v>
      </c>
      <c r="C126" s="2">
        <f t="shared" si="5"/>
        <v>509266.86055426061</v>
      </c>
      <c r="D126" s="2">
        <f>IF(A126="","",MIN('Loan Inputs'!$B$17,C126+E126)+H126)</f>
        <v>4311.533367807353</v>
      </c>
      <c r="E126" s="2">
        <f>IF(A126="","",C126*'Loan Inputs'!$B$15)</f>
        <v>2711.8460324514376</v>
      </c>
      <c r="F126" s="2">
        <f t="shared" si="3"/>
        <v>1599.6873353559154</v>
      </c>
      <c r="G126" s="2">
        <f t="shared" si="4"/>
        <v>507667.1732189047</v>
      </c>
      <c r="H126" s="2">
        <f>IF(A126="","",MIN('Loan Inputs'!$B$18,MAX(0,C126+E126-'Loan Inputs'!$B$17)))</f>
        <v>250</v>
      </c>
    </row>
    <row r="127" spans="1:8" ht="22" customHeight="1">
      <c r="A127" s="1">
        <f>IF(AND('Loan Inputs'!$B$12,121&lt;=IF('Loan Inputs'!$B$12,'Loan Inputs'!$B$7,0)*'Loan Inputs'!$B$14+5*'Loan Inputs'!$B$14,ISNUMBER(G126),G126&gt;0),121,"")</f>
        <v>121</v>
      </c>
      <c r="B127" s="4">
        <f>IF(A127="","",IF('Loan Inputs'!$B$14=12,DATE(YEAR('Loan Inputs'!$B$8),MONTH('Loan Inputs'!$B$8)+A127,DAY('Loan Inputs'!$B$8)),'Loan Inputs'!$B$8+A127*IF('Loan Inputs'!$B$14=26,14,7)))</f>
        <v>50010</v>
      </c>
      <c r="C127" s="2">
        <f t="shared" si="5"/>
        <v>507667.1732189047</v>
      </c>
      <c r="D127" s="2">
        <f>IF(A127="","",MIN('Loan Inputs'!$B$17,C127+E127)+H127)</f>
        <v>4311.533367807353</v>
      </c>
      <c r="E127" s="2">
        <f>IF(A127="","",C127*'Loan Inputs'!$B$15)</f>
        <v>2703.3276973906673</v>
      </c>
      <c r="F127" s="2">
        <f t="shared" si="3"/>
        <v>1608.2056704166857</v>
      </c>
      <c r="G127" s="2">
        <f t="shared" si="4"/>
        <v>506058.967548488</v>
      </c>
      <c r="H127" s="2">
        <f>IF(A127="","",MIN('Loan Inputs'!$B$18,MAX(0,C127+E127-'Loan Inputs'!$B$17)))</f>
        <v>250</v>
      </c>
    </row>
    <row r="128" spans="1:8" ht="22" customHeight="1">
      <c r="A128" s="1">
        <f>IF(AND('Loan Inputs'!$B$12,122&lt;=IF('Loan Inputs'!$B$12,'Loan Inputs'!$B$7,0)*'Loan Inputs'!$B$14+5*'Loan Inputs'!$B$14,ISNUMBER(G127),G127&gt;0),122,"")</f>
        <v>122</v>
      </c>
      <c r="B128" s="4">
        <f>IF(A128="","",IF('Loan Inputs'!$B$14=12,DATE(YEAR('Loan Inputs'!$B$8),MONTH('Loan Inputs'!$B$8)+A128,DAY('Loan Inputs'!$B$8)),'Loan Inputs'!$B$8+A128*IF('Loan Inputs'!$B$14=26,14,7)))</f>
        <v>50041</v>
      </c>
      <c r="C128" s="2">
        <f t="shared" si="5"/>
        <v>506058.967548488</v>
      </c>
      <c r="D128" s="2">
        <f>IF(A128="","",MIN('Loan Inputs'!$B$17,C128+E128)+H128)</f>
        <v>4311.533367807353</v>
      </c>
      <c r="E128" s="2">
        <f>IF(A128="","",C128*'Loan Inputs'!$B$15)</f>
        <v>2694.7640021956986</v>
      </c>
      <c r="F128" s="2">
        <f t="shared" si="3"/>
        <v>1616.7693656116544</v>
      </c>
      <c r="G128" s="2">
        <f t="shared" si="4"/>
        <v>504442.19818287634</v>
      </c>
      <c r="H128" s="2">
        <f>IF(A128="","",MIN('Loan Inputs'!$B$18,MAX(0,C128+E128-'Loan Inputs'!$B$17)))</f>
        <v>250</v>
      </c>
    </row>
    <row r="129" spans="1:8" ht="22" customHeight="1">
      <c r="A129" s="1">
        <f>IF(AND('Loan Inputs'!$B$12,123&lt;=IF('Loan Inputs'!$B$12,'Loan Inputs'!$B$7,0)*'Loan Inputs'!$B$14+5*'Loan Inputs'!$B$14,ISNUMBER(G128),G128&gt;0),123,"")</f>
        <v>123</v>
      </c>
      <c r="B129" s="4">
        <f>IF(A129="","",IF('Loan Inputs'!$B$14=12,DATE(YEAR('Loan Inputs'!$B$8),MONTH('Loan Inputs'!$B$8)+A129,DAY('Loan Inputs'!$B$8)),'Loan Inputs'!$B$8+A129*IF('Loan Inputs'!$B$14=26,14,7)))</f>
        <v>50072</v>
      </c>
      <c r="C129" s="2">
        <f t="shared" si="5"/>
        <v>504442.19818287634</v>
      </c>
      <c r="D129" s="2">
        <f>IF(A129="","",MIN('Loan Inputs'!$B$17,C129+E129)+H129)</f>
        <v>4311.533367807353</v>
      </c>
      <c r="E129" s="2">
        <f>IF(A129="","",C129*'Loan Inputs'!$B$15)</f>
        <v>2686.1547053238164</v>
      </c>
      <c r="F129" s="2">
        <f t="shared" si="3"/>
        <v>1625.3786624835366</v>
      </c>
      <c r="G129" s="2">
        <f t="shared" si="4"/>
        <v>502816.8195203928</v>
      </c>
      <c r="H129" s="2">
        <f>IF(A129="","",MIN('Loan Inputs'!$B$18,MAX(0,C129+E129-'Loan Inputs'!$B$17)))</f>
        <v>250</v>
      </c>
    </row>
    <row r="130" spans="1:8" ht="22" customHeight="1">
      <c r="A130" s="1">
        <f>IF(AND('Loan Inputs'!$B$12,124&lt;=IF('Loan Inputs'!$B$12,'Loan Inputs'!$B$7,0)*'Loan Inputs'!$B$14+5*'Loan Inputs'!$B$14,ISNUMBER(G129),G129&gt;0),124,"")</f>
        <v>124</v>
      </c>
      <c r="B130" s="4">
        <f>IF(A130="","",IF('Loan Inputs'!$B$14=12,DATE(YEAR('Loan Inputs'!$B$8),MONTH('Loan Inputs'!$B$8)+A130,DAY('Loan Inputs'!$B$8)),'Loan Inputs'!$B$8+A130*IF('Loan Inputs'!$B$14=26,14,7)))</f>
        <v>50100</v>
      </c>
      <c r="C130" s="2">
        <f t="shared" si="5"/>
        <v>502816.8195203928</v>
      </c>
      <c r="D130" s="2">
        <f>IF(A130="","",MIN('Loan Inputs'!$B$17,C130+E130)+H130)</f>
        <v>4311.533367807353</v>
      </c>
      <c r="E130" s="2">
        <f>IF(A130="","",C130*'Loan Inputs'!$B$15)</f>
        <v>2677.4995639460917</v>
      </c>
      <c r="F130" s="2">
        <f t="shared" si="3"/>
        <v>1634.0338038612613</v>
      </c>
      <c r="G130" s="2">
        <f t="shared" si="4"/>
        <v>501182.78571653157</v>
      </c>
      <c r="H130" s="2">
        <f>IF(A130="","",MIN('Loan Inputs'!$B$18,MAX(0,C130+E130-'Loan Inputs'!$B$17)))</f>
        <v>250</v>
      </c>
    </row>
    <row r="131" spans="1:8" ht="22" customHeight="1">
      <c r="A131" s="1">
        <f>IF(AND('Loan Inputs'!$B$12,125&lt;=IF('Loan Inputs'!$B$12,'Loan Inputs'!$B$7,0)*'Loan Inputs'!$B$14+5*'Loan Inputs'!$B$14,ISNUMBER(G130),G130&gt;0),125,"")</f>
        <v>125</v>
      </c>
      <c r="B131" s="4">
        <f>IF(A131="","",IF('Loan Inputs'!$B$14=12,DATE(YEAR('Loan Inputs'!$B$8),MONTH('Loan Inputs'!$B$8)+A131,DAY('Loan Inputs'!$B$8)),'Loan Inputs'!$B$8+A131*IF('Loan Inputs'!$B$14=26,14,7)))</f>
        <v>50131</v>
      </c>
      <c r="C131" s="2">
        <f t="shared" si="5"/>
        <v>501182.78571653157</v>
      </c>
      <c r="D131" s="2">
        <f>IF(A131="","",MIN('Loan Inputs'!$B$17,C131+E131)+H131)</f>
        <v>4311.533367807353</v>
      </c>
      <c r="E131" s="2">
        <f>IF(A131="","",C131*'Loan Inputs'!$B$15)</f>
        <v>2668.7983339405305</v>
      </c>
      <c r="F131" s="2">
        <f t="shared" si="3"/>
        <v>1642.7350338668225</v>
      </c>
      <c r="G131" s="2">
        <f t="shared" si="4"/>
        <v>499540.05068266473</v>
      </c>
      <c r="H131" s="2">
        <f>IF(A131="","",MIN('Loan Inputs'!$B$18,MAX(0,C131+E131-'Loan Inputs'!$B$17)))</f>
        <v>250</v>
      </c>
    </row>
    <row r="132" spans="1:8" ht="22" customHeight="1">
      <c r="A132" s="1">
        <f>IF(AND('Loan Inputs'!$B$12,126&lt;=IF('Loan Inputs'!$B$12,'Loan Inputs'!$B$7,0)*'Loan Inputs'!$B$14+5*'Loan Inputs'!$B$14,ISNUMBER(G131),G131&gt;0),126,"")</f>
        <v>126</v>
      </c>
      <c r="B132" s="4">
        <f>IF(A132="","",IF('Loan Inputs'!$B$14=12,DATE(YEAR('Loan Inputs'!$B$8),MONTH('Loan Inputs'!$B$8)+A132,DAY('Loan Inputs'!$B$8)),'Loan Inputs'!$B$8+A132*IF('Loan Inputs'!$B$14=26,14,7)))</f>
        <v>50161</v>
      </c>
      <c r="C132" s="2">
        <f t="shared" si="5"/>
        <v>499540.05068266473</v>
      </c>
      <c r="D132" s="2">
        <f>IF(A132="","",MIN('Loan Inputs'!$B$17,C132+E132)+H132)</f>
        <v>4311.533367807353</v>
      </c>
      <c r="E132" s="2">
        <f>IF(A132="","",C132*'Loan Inputs'!$B$15)</f>
        <v>2660.0507698851898</v>
      </c>
      <c r="F132" s="2">
        <f t="shared" si="3"/>
        <v>1651.4825979221632</v>
      </c>
      <c r="G132" s="2">
        <f t="shared" si="4"/>
        <v>497888.56808474258</v>
      </c>
      <c r="H132" s="2">
        <f>IF(A132="","",MIN('Loan Inputs'!$B$18,MAX(0,C132+E132-'Loan Inputs'!$B$17)))</f>
        <v>250</v>
      </c>
    </row>
    <row r="133" spans="1:8" ht="22" customHeight="1">
      <c r="A133" s="1">
        <f>IF(AND('Loan Inputs'!$B$12,127&lt;=IF('Loan Inputs'!$B$12,'Loan Inputs'!$B$7,0)*'Loan Inputs'!$B$14+5*'Loan Inputs'!$B$14,ISNUMBER(G132),G132&gt;0),127,"")</f>
        <v>127</v>
      </c>
      <c r="B133" s="4">
        <f>IF(A133="","",IF('Loan Inputs'!$B$14=12,DATE(YEAR('Loan Inputs'!$B$8),MONTH('Loan Inputs'!$B$8)+A133,DAY('Loan Inputs'!$B$8)),'Loan Inputs'!$B$8+A133*IF('Loan Inputs'!$B$14=26,14,7)))</f>
        <v>50192</v>
      </c>
      <c r="C133" s="2">
        <f t="shared" si="5"/>
        <v>497888.56808474258</v>
      </c>
      <c r="D133" s="2">
        <f>IF(A133="","",MIN('Loan Inputs'!$B$17,C133+E133)+H133)</f>
        <v>4311.533367807353</v>
      </c>
      <c r="E133" s="2">
        <f>IF(A133="","",C133*'Loan Inputs'!$B$15)</f>
        <v>2651.2566250512541</v>
      </c>
      <c r="F133" s="2">
        <f t="shared" si="3"/>
        <v>1660.2767427560989</v>
      </c>
      <c r="G133" s="2">
        <f t="shared" si="4"/>
        <v>496228.29134198651</v>
      </c>
      <c r="H133" s="2">
        <f>IF(A133="","",MIN('Loan Inputs'!$B$18,MAX(0,C133+E133-'Loan Inputs'!$B$17)))</f>
        <v>250</v>
      </c>
    </row>
    <row r="134" spans="1:8" ht="22" customHeight="1">
      <c r="A134" s="1">
        <f>IF(AND('Loan Inputs'!$B$12,128&lt;=IF('Loan Inputs'!$B$12,'Loan Inputs'!$B$7,0)*'Loan Inputs'!$B$14+5*'Loan Inputs'!$B$14,ISNUMBER(G133),G133&gt;0),128,"")</f>
        <v>128</v>
      </c>
      <c r="B134" s="4">
        <f>IF(A134="","",IF('Loan Inputs'!$B$14=12,DATE(YEAR('Loan Inputs'!$B$8),MONTH('Loan Inputs'!$B$8)+A134,DAY('Loan Inputs'!$B$8)),'Loan Inputs'!$B$8+A134*IF('Loan Inputs'!$B$14=26,14,7)))</f>
        <v>50222</v>
      </c>
      <c r="C134" s="2">
        <f t="shared" si="5"/>
        <v>496228.29134198651</v>
      </c>
      <c r="D134" s="2">
        <f>IF(A134="","",MIN('Loan Inputs'!$B$17,C134+E134)+H134)</f>
        <v>4311.533367807353</v>
      </c>
      <c r="E134" s="2">
        <f>IF(A134="","",C134*'Loan Inputs'!$B$15)</f>
        <v>2642.4156513960779</v>
      </c>
      <c r="F134" s="2">
        <f t="shared" si="3"/>
        <v>1669.1177164112751</v>
      </c>
      <c r="G134" s="2">
        <f t="shared" si="4"/>
        <v>494559.1736255752</v>
      </c>
      <c r="H134" s="2">
        <f>IF(A134="","",MIN('Loan Inputs'!$B$18,MAX(0,C134+E134-'Loan Inputs'!$B$17)))</f>
        <v>250</v>
      </c>
    </row>
    <row r="135" spans="1:8" ht="22" customHeight="1">
      <c r="A135" s="1">
        <f>IF(AND('Loan Inputs'!$B$12,129&lt;=IF('Loan Inputs'!$B$12,'Loan Inputs'!$B$7,0)*'Loan Inputs'!$B$14+5*'Loan Inputs'!$B$14,ISNUMBER(G134),G134&gt;0),129,"")</f>
        <v>129</v>
      </c>
      <c r="B135" s="4">
        <f>IF(A135="","",IF('Loan Inputs'!$B$14=12,DATE(YEAR('Loan Inputs'!$B$8),MONTH('Loan Inputs'!$B$8)+A135,DAY('Loan Inputs'!$B$8)),'Loan Inputs'!$B$8+A135*IF('Loan Inputs'!$B$14=26,14,7)))</f>
        <v>50253</v>
      </c>
      <c r="C135" s="2">
        <f t="shared" si="5"/>
        <v>494559.1736255752</v>
      </c>
      <c r="D135" s="2">
        <f>IF(A135="","",MIN('Loan Inputs'!$B$17,C135+E135)+H135)</f>
        <v>4311.533367807353</v>
      </c>
      <c r="E135" s="2">
        <f>IF(A135="","",C135*'Loan Inputs'!$B$15)</f>
        <v>2633.5275995561879</v>
      </c>
      <c r="F135" s="2">
        <f t="shared" ref="F135:F198" si="6">IF(A135="","",MIN(C135,D135-E135))</f>
        <v>1678.0057682511651</v>
      </c>
      <c r="G135" s="2">
        <f t="shared" ref="G135:G198" si="7">IF(A135="","",IF(C135-F135&lt;0.0000001,0,MAX(0,C135-F135)))</f>
        <v>492881.16785732406</v>
      </c>
      <c r="H135" s="2">
        <f>IF(A135="","",MIN('Loan Inputs'!$B$18,MAX(0,C135+E135-'Loan Inputs'!$B$17)))</f>
        <v>250</v>
      </c>
    </row>
    <row r="136" spans="1:8" ht="22" customHeight="1">
      <c r="A136" s="1">
        <f>IF(AND('Loan Inputs'!$B$12,130&lt;=IF('Loan Inputs'!$B$12,'Loan Inputs'!$B$7,0)*'Loan Inputs'!$B$14+5*'Loan Inputs'!$B$14,ISNUMBER(G135),G135&gt;0),130,"")</f>
        <v>130</v>
      </c>
      <c r="B136" s="4">
        <f>IF(A136="","",IF('Loan Inputs'!$B$14=12,DATE(YEAR('Loan Inputs'!$B$8),MONTH('Loan Inputs'!$B$8)+A136,DAY('Loan Inputs'!$B$8)),'Loan Inputs'!$B$8+A136*IF('Loan Inputs'!$B$14=26,14,7)))</f>
        <v>50284</v>
      </c>
      <c r="C136" s="2">
        <f t="shared" ref="C136:C199" si="8">IF(A136="","",G135)</f>
        <v>492881.16785732406</v>
      </c>
      <c r="D136" s="2">
        <f>IF(A136="","",MIN('Loan Inputs'!$B$17,C136+E136)+H136)</f>
        <v>4311.533367807353</v>
      </c>
      <c r="E136" s="2">
        <f>IF(A136="","",C136*'Loan Inputs'!$B$15)</f>
        <v>2624.5922188402506</v>
      </c>
      <c r="F136" s="2">
        <f t="shared" si="6"/>
        <v>1686.9411489671024</v>
      </c>
      <c r="G136" s="2">
        <f t="shared" si="7"/>
        <v>491194.22670835699</v>
      </c>
      <c r="H136" s="2">
        <f>IF(A136="","",MIN('Loan Inputs'!$B$18,MAX(0,C136+E136-'Loan Inputs'!$B$17)))</f>
        <v>250</v>
      </c>
    </row>
    <row r="137" spans="1:8" ht="22" customHeight="1">
      <c r="A137" s="1">
        <f>IF(AND('Loan Inputs'!$B$12,131&lt;=IF('Loan Inputs'!$B$12,'Loan Inputs'!$B$7,0)*'Loan Inputs'!$B$14+5*'Loan Inputs'!$B$14,ISNUMBER(G136),G136&gt;0),131,"")</f>
        <v>131</v>
      </c>
      <c r="B137" s="4">
        <f>IF(A137="","",IF('Loan Inputs'!$B$14=12,DATE(YEAR('Loan Inputs'!$B$8),MONTH('Loan Inputs'!$B$8)+A137,DAY('Loan Inputs'!$B$8)),'Loan Inputs'!$B$8+A137*IF('Loan Inputs'!$B$14=26,14,7)))</f>
        <v>50314</v>
      </c>
      <c r="C137" s="2">
        <f t="shared" si="8"/>
        <v>491194.22670835699</v>
      </c>
      <c r="D137" s="2">
        <f>IF(A137="","",MIN('Loan Inputs'!$B$17,C137+E137)+H137)</f>
        <v>4311.533367807353</v>
      </c>
      <c r="E137" s="2">
        <f>IF(A137="","",C137*'Loan Inputs'!$B$15)</f>
        <v>2615.6092572220009</v>
      </c>
      <c r="F137" s="2">
        <f t="shared" si="6"/>
        <v>1695.9241105853521</v>
      </c>
      <c r="G137" s="2">
        <f t="shared" si="7"/>
        <v>489498.30259777163</v>
      </c>
      <c r="H137" s="2">
        <f>IF(A137="","",MIN('Loan Inputs'!$B$18,MAX(0,C137+E137-'Loan Inputs'!$B$17)))</f>
        <v>250</v>
      </c>
    </row>
    <row r="138" spans="1:8" ht="22" customHeight="1">
      <c r="A138" s="1">
        <f>IF(AND('Loan Inputs'!$B$12,132&lt;=IF('Loan Inputs'!$B$12,'Loan Inputs'!$B$7,0)*'Loan Inputs'!$B$14+5*'Loan Inputs'!$B$14,ISNUMBER(G137),G137&gt;0),132,"")</f>
        <v>132</v>
      </c>
      <c r="B138" s="4">
        <f>IF(A138="","",IF('Loan Inputs'!$B$14=12,DATE(YEAR('Loan Inputs'!$B$8),MONTH('Loan Inputs'!$B$8)+A138,DAY('Loan Inputs'!$B$8)),'Loan Inputs'!$B$8+A138*IF('Loan Inputs'!$B$14=26,14,7)))</f>
        <v>50345</v>
      </c>
      <c r="C138" s="2">
        <f t="shared" si="8"/>
        <v>489498.30259777163</v>
      </c>
      <c r="D138" s="2">
        <f>IF(A138="","",MIN('Loan Inputs'!$B$17,C138+E138)+H138)</f>
        <v>4311.533367807353</v>
      </c>
      <c r="E138" s="2">
        <f>IF(A138="","",C138*'Loan Inputs'!$B$15)</f>
        <v>2606.5784613331339</v>
      </c>
      <c r="F138" s="2">
        <f t="shared" si="6"/>
        <v>1704.9549064742191</v>
      </c>
      <c r="G138" s="2">
        <f t="shared" si="7"/>
        <v>487793.34769129741</v>
      </c>
      <c r="H138" s="2">
        <f>IF(A138="","",MIN('Loan Inputs'!$B$18,MAX(0,C138+E138-'Loan Inputs'!$B$17)))</f>
        <v>250</v>
      </c>
    </row>
    <row r="139" spans="1:8" ht="22" customHeight="1">
      <c r="A139" s="1">
        <f>IF(AND('Loan Inputs'!$B$12,133&lt;=IF('Loan Inputs'!$B$12,'Loan Inputs'!$B$7,0)*'Loan Inputs'!$B$14+5*'Loan Inputs'!$B$14,ISNUMBER(G138),G138&gt;0),133,"")</f>
        <v>133</v>
      </c>
      <c r="B139" s="4">
        <f>IF(A139="","",IF('Loan Inputs'!$B$14=12,DATE(YEAR('Loan Inputs'!$B$8),MONTH('Loan Inputs'!$B$8)+A139,DAY('Loan Inputs'!$B$8)),'Loan Inputs'!$B$8+A139*IF('Loan Inputs'!$B$14=26,14,7)))</f>
        <v>50375</v>
      </c>
      <c r="C139" s="2">
        <f t="shared" si="8"/>
        <v>487793.34769129741</v>
      </c>
      <c r="D139" s="2">
        <f>IF(A139="","",MIN('Loan Inputs'!$B$17,C139+E139)+H139)</f>
        <v>4311.533367807353</v>
      </c>
      <c r="E139" s="2">
        <f>IF(A139="","",C139*'Loan Inputs'!$B$15)</f>
        <v>2597.4995764561586</v>
      </c>
      <c r="F139" s="2">
        <f t="shared" si="6"/>
        <v>1714.0337913511944</v>
      </c>
      <c r="G139" s="2">
        <f t="shared" si="7"/>
        <v>486079.31389994622</v>
      </c>
      <c r="H139" s="2">
        <f>IF(A139="","",MIN('Loan Inputs'!$B$18,MAX(0,C139+E139-'Loan Inputs'!$B$17)))</f>
        <v>250</v>
      </c>
    </row>
    <row r="140" spans="1:8" ht="22" customHeight="1">
      <c r="A140" s="1">
        <f>IF(AND('Loan Inputs'!$B$12,134&lt;=IF('Loan Inputs'!$B$12,'Loan Inputs'!$B$7,0)*'Loan Inputs'!$B$14+5*'Loan Inputs'!$B$14,ISNUMBER(G139),G139&gt;0),134,"")</f>
        <v>134</v>
      </c>
      <c r="B140" s="4">
        <f>IF(A140="","",IF('Loan Inputs'!$B$14=12,DATE(YEAR('Loan Inputs'!$B$8),MONTH('Loan Inputs'!$B$8)+A140,DAY('Loan Inputs'!$B$8)),'Loan Inputs'!$B$8+A140*IF('Loan Inputs'!$B$14=26,14,7)))</f>
        <v>50406</v>
      </c>
      <c r="C140" s="2">
        <f t="shared" si="8"/>
        <v>486079.31389994622</v>
      </c>
      <c r="D140" s="2">
        <f>IF(A140="","",MIN('Loan Inputs'!$B$17,C140+E140)+H140)</f>
        <v>4311.533367807353</v>
      </c>
      <c r="E140" s="2">
        <f>IF(A140="","",C140*'Loan Inputs'!$B$15)</f>
        <v>2588.3723465172134</v>
      </c>
      <c r="F140" s="2">
        <f t="shared" si="6"/>
        <v>1723.1610212901396</v>
      </c>
      <c r="G140" s="2">
        <f t="shared" si="7"/>
        <v>484356.15287865611</v>
      </c>
      <c r="H140" s="2">
        <f>IF(A140="","",MIN('Loan Inputs'!$B$18,MAX(0,C140+E140-'Loan Inputs'!$B$17)))</f>
        <v>250</v>
      </c>
    </row>
    <row r="141" spans="1:8" ht="22" customHeight="1">
      <c r="A141" s="1">
        <f>IF(AND('Loan Inputs'!$B$12,135&lt;=IF('Loan Inputs'!$B$12,'Loan Inputs'!$B$7,0)*'Loan Inputs'!$B$14+5*'Loan Inputs'!$B$14,ISNUMBER(G140),G140&gt;0),135,"")</f>
        <v>135</v>
      </c>
      <c r="B141" s="4">
        <f>IF(A141="","",IF('Loan Inputs'!$B$14=12,DATE(YEAR('Loan Inputs'!$B$8),MONTH('Loan Inputs'!$B$8)+A141,DAY('Loan Inputs'!$B$8)),'Loan Inputs'!$B$8+A141*IF('Loan Inputs'!$B$14=26,14,7)))</f>
        <v>50437</v>
      </c>
      <c r="C141" s="2">
        <f t="shared" si="8"/>
        <v>484356.15287865611</v>
      </c>
      <c r="D141" s="2">
        <f>IF(A141="","",MIN('Loan Inputs'!$B$17,C141+E141)+H141)</f>
        <v>4311.533367807353</v>
      </c>
      <c r="E141" s="2">
        <f>IF(A141="","",C141*'Loan Inputs'!$B$15)</f>
        <v>2579.1965140788438</v>
      </c>
      <c r="F141" s="2">
        <f t="shared" si="6"/>
        <v>1732.3368537285091</v>
      </c>
      <c r="G141" s="2">
        <f t="shared" si="7"/>
        <v>482623.8160249276</v>
      </c>
      <c r="H141" s="2">
        <f>IF(A141="","",MIN('Loan Inputs'!$B$18,MAX(0,C141+E141-'Loan Inputs'!$B$17)))</f>
        <v>250</v>
      </c>
    </row>
    <row r="142" spans="1:8" ht="22" customHeight="1">
      <c r="A142" s="1">
        <f>IF(AND('Loan Inputs'!$B$12,136&lt;=IF('Loan Inputs'!$B$12,'Loan Inputs'!$B$7,0)*'Loan Inputs'!$B$14+5*'Loan Inputs'!$B$14,ISNUMBER(G141),G141&gt;0),136,"")</f>
        <v>136</v>
      </c>
      <c r="B142" s="4">
        <f>IF(A142="","",IF('Loan Inputs'!$B$14=12,DATE(YEAR('Loan Inputs'!$B$8),MONTH('Loan Inputs'!$B$8)+A142,DAY('Loan Inputs'!$B$8)),'Loan Inputs'!$B$8+A142*IF('Loan Inputs'!$B$14=26,14,7)))</f>
        <v>50465</v>
      </c>
      <c r="C142" s="2">
        <f t="shared" si="8"/>
        <v>482623.8160249276</v>
      </c>
      <c r="D142" s="2">
        <f>IF(A142="","",MIN('Loan Inputs'!$B$17,C142+E142)+H142)</f>
        <v>4311.533367807353</v>
      </c>
      <c r="E142" s="2">
        <f>IF(A142="","",C142*'Loan Inputs'!$B$15)</f>
        <v>2569.9718203327393</v>
      </c>
      <c r="F142" s="2">
        <f t="shared" si="6"/>
        <v>1741.5615474746137</v>
      </c>
      <c r="G142" s="2">
        <f t="shared" si="7"/>
        <v>480882.25447745301</v>
      </c>
      <c r="H142" s="2">
        <f>IF(A142="","",MIN('Loan Inputs'!$B$18,MAX(0,C142+E142-'Loan Inputs'!$B$17)))</f>
        <v>250</v>
      </c>
    </row>
    <row r="143" spans="1:8" ht="22" customHeight="1">
      <c r="A143" s="1">
        <f>IF(AND('Loan Inputs'!$B$12,137&lt;=IF('Loan Inputs'!$B$12,'Loan Inputs'!$B$7,0)*'Loan Inputs'!$B$14+5*'Loan Inputs'!$B$14,ISNUMBER(G142),G142&gt;0),137,"")</f>
        <v>137</v>
      </c>
      <c r="B143" s="4">
        <f>IF(A143="","",IF('Loan Inputs'!$B$14=12,DATE(YEAR('Loan Inputs'!$B$8),MONTH('Loan Inputs'!$B$8)+A143,DAY('Loan Inputs'!$B$8)),'Loan Inputs'!$B$8+A143*IF('Loan Inputs'!$B$14=26,14,7)))</f>
        <v>50496</v>
      </c>
      <c r="C143" s="2">
        <f t="shared" si="8"/>
        <v>480882.25447745301</v>
      </c>
      <c r="D143" s="2">
        <f>IF(A143="","",MIN('Loan Inputs'!$B$17,C143+E143)+H143)</f>
        <v>4311.533367807353</v>
      </c>
      <c r="E143" s="2">
        <f>IF(A143="","",C143*'Loan Inputs'!$B$15)</f>
        <v>2560.6980050924371</v>
      </c>
      <c r="F143" s="2">
        <f t="shared" si="6"/>
        <v>1750.8353627149158</v>
      </c>
      <c r="G143" s="2">
        <f t="shared" si="7"/>
        <v>479131.41911473812</v>
      </c>
      <c r="H143" s="2">
        <f>IF(A143="","",MIN('Loan Inputs'!$B$18,MAX(0,C143+E143-'Loan Inputs'!$B$17)))</f>
        <v>250</v>
      </c>
    </row>
    <row r="144" spans="1:8" ht="22" customHeight="1">
      <c r="A144" s="1">
        <f>IF(AND('Loan Inputs'!$B$12,138&lt;=IF('Loan Inputs'!$B$12,'Loan Inputs'!$B$7,0)*'Loan Inputs'!$B$14+5*'Loan Inputs'!$B$14,ISNUMBER(G143),G143&gt;0),138,"")</f>
        <v>138</v>
      </c>
      <c r="B144" s="4">
        <f>IF(A144="","",IF('Loan Inputs'!$B$14=12,DATE(YEAR('Loan Inputs'!$B$8),MONTH('Loan Inputs'!$B$8)+A144,DAY('Loan Inputs'!$B$8)),'Loan Inputs'!$B$8+A144*IF('Loan Inputs'!$B$14=26,14,7)))</f>
        <v>50526</v>
      </c>
      <c r="C144" s="2">
        <f t="shared" si="8"/>
        <v>479131.41911473812</v>
      </c>
      <c r="D144" s="2">
        <f>IF(A144="","",MIN('Loan Inputs'!$B$17,C144+E144)+H144)</f>
        <v>4311.533367807353</v>
      </c>
      <c r="E144" s="2">
        <f>IF(A144="","",C144*'Loan Inputs'!$B$15)</f>
        <v>2551.3748067859806</v>
      </c>
      <c r="F144" s="2">
        <f t="shared" si="6"/>
        <v>1760.1585610213724</v>
      </c>
      <c r="G144" s="2">
        <f t="shared" si="7"/>
        <v>477371.26055371674</v>
      </c>
      <c r="H144" s="2">
        <f>IF(A144="","",MIN('Loan Inputs'!$B$18,MAX(0,C144+E144-'Loan Inputs'!$B$17)))</f>
        <v>250</v>
      </c>
    </row>
    <row r="145" spans="1:8" ht="22" customHeight="1">
      <c r="A145" s="1">
        <f>IF(AND('Loan Inputs'!$B$12,139&lt;=IF('Loan Inputs'!$B$12,'Loan Inputs'!$B$7,0)*'Loan Inputs'!$B$14+5*'Loan Inputs'!$B$14,ISNUMBER(G144),G144&gt;0),139,"")</f>
        <v>139</v>
      </c>
      <c r="B145" s="4">
        <f>IF(A145="","",IF('Loan Inputs'!$B$14=12,DATE(YEAR('Loan Inputs'!$B$8),MONTH('Loan Inputs'!$B$8)+A145,DAY('Loan Inputs'!$B$8)),'Loan Inputs'!$B$8+A145*IF('Loan Inputs'!$B$14=26,14,7)))</f>
        <v>50557</v>
      </c>
      <c r="C145" s="2">
        <f t="shared" si="8"/>
        <v>477371.26055371674</v>
      </c>
      <c r="D145" s="2">
        <f>IF(A145="","",MIN('Loan Inputs'!$B$17,C145+E145)+H145)</f>
        <v>4311.533367807353</v>
      </c>
      <c r="E145" s="2">
        <f>IF(A145="","",C145*'Loan Inputs'!$B$15)</f>
        <v>2542.0019624485417</v>
      </c>
      <c r="F145" s="2">
        <f t="shared" si="6"/>
        <v>1769.5314053588113</v>
      </c>
      <c r="G145" s="2">
        <f t="shared" si="7"/>
        <v>475601.72914835793</v>
      </c>
      <c r="H145" s="2">
        <f>IF(A145="","",MIN('Loan Inputs'!$B$18,MAX(0,C145+E145-'Loan Inputs'!$B$17)))</f>
        <v>250</v>
      </c>
    </row>
    <row r="146" spans="1:8" ht="22" customHeight="1">
      <c r="A146" s="1">
        <f>IF(AND('Loan Inputs'!$B$12,140&lt;=IF('Loan Inputs'!$B$12,'Loan Inputs'!$B$7,0)*'Loan Inputs'!$B$14+5*'Loan Inputs'!$B$14,ISNUMBER(G145),G145&gt;0),140,"")</f>
        <v>140</v>
      </c>
      <c r="B146" s="4">
        <f>IF(A146="","",IF('Loan Inputs'!$B$14=12,DATE(YEAR('Loan Inputs'!$B$8),MONTH('Loan Inputs'!$B$8)+A146,DAY('Loan Inputs'!$B$8)),'Loan Inputs'!$B$8+A146*IF('Loan Inputs'!$B$14=26,14,7)))</f>
        <v>50587</v>
      </c>
      <c r="C146" s="2">
        <f t="shared" si="8"/>
        <v>475601.72914835793</v>
      </c>
      <c r="D146" s="2">
        <f>IF(A146="","",MIN('Loan Inputs'!$B$17,C146+E146)+H146)</f>
        <v>4311.533367807353</v>
      </c>
      <c r="E146" s="2">
        <f>IF(A146="","",C146*'Loan Inputs'!$B$15)</f>
        <v>2532.5792077150059</v>
      </c>
      <c r="F146" s="2">
        <f t="shared" si="6"/>
        <v>1778.9541600923471</v>
      </c>
      <c r="G146" s="2">
        <f t="shared" si="7"/>
        <v>473822.77498826559</v>
      </c>
      <c r="H146" s="2">
        <f>IF(A146="","",MIN('Loan Inputs'!$B$18,MAX(0,C146+E146-'Loan Inputs'!$B$17)))</f>
        <v>250</v>
      </c>
    </row>
    <row r="147" spans="1:8" ht="22" customHeight="1">
      <c r="A147" s="1">
        <f>IF(AND('Loan Inputs'!$B$12,141&lt;=IF('Loan Inputs'!$B$12,'Loan Inputs'!$B$7,0)*'Loan Inputs'!$B$14+5*'Loan Inputs'!$B$14,ISNUMBER(G146),G146&gt;0),141,"")</f>
        <v>141</v>
      </c>
      <c r="B147" s="4">
        <f>IF(A147="","",IF('Loan Inputs'!$B$14=12,DATE(YEAR('Loan Inputs'!$B$8),MONTH('Loan Inputs'!$B$8)+A147,DAY('Loan Inputs'!$B$8)),'Loan Inputs'!$B$8+A147*IF('Loan Inputs'!$B$14=26,14,7)))</f>
        <v>50618</v>
      </c>
      <c r="C147" s="2">
        <f t="shared" si="8"/>
        <v>473822.77498826559</v>
      </c>
      <c r="D147" s="2">
        <f>IF(A147="","",MIN('Loan Inputs'!$B$17,C147+E147)+H147)</f>
        <v>4311.533367807353</v>
      </c>
      <c r="E147" s="2">
        <f>IF(A147="","",C147*'Loan Inputs'!$B$15)</f>
        <v>2523.1062768125144</v>
      </c>
      <c r="F147" s="2">
        <f t="shared" si="6"/>
        <v>1788.4270909948386</v>
      </c>
      <c r="G147" s="2">
        <f t="shared" si="7"/>
        <v>472034.34789727075</v>
      </c>
      <c r="H147" s="2">
        <f>IF(A147="","",MIN('Loan Inputs'!$B$18,MAX(0,C147+E147-'Loan Inputs'!$B$17)))</f>
        <v>250</v>
      </c>
    </row>
    <row r="148" spans="1:8" ht="22" customHeight="1">
      <c r="A148" s="1">
        <f>IF(AND('Loan Inputs'!$B$12,142&lt;=IF('Loan Inputs'!$B$12,'Loan Inputs'!$B$7,0)*'Loan Inputs'!$B$14+5*'Loan Inputs'!$B$14,ISNUMBER(G147),G147&gt;0),142,"")</f>
        <v>142</v>
      </c>
      <c r="B148" s="4">
        <f>IF(A148="","",IF('Loan Inputs'!$B$14=12,DATE(YEAR('Loan Inputs'!$B$8),MONTH('Loan Inputs'!$B$8)+A148,DAY('Loan Inputs'!$B$8)),'Loan Inputs'!$B$8+A148*IF('Loan Inputs'!$B$14=26,14,7)))</f>
        <v>50649</v>
      </c>
      <c r="C148" s="2">
        <f t="shared" si="8"/>
        <v>472034.34789727075</v>
      </c>
      <c r="D148" s="2">
        <f>IF(A148="","",MIN('Loan Inputs'!$B$17,C148+E148)+H148)</f>
        <v>4311.533367807353</v>
      </c>
      <c r="E148" s="2">
        <f>IF(A148="","",C148*'Loan Inputs'!$B$15)</f>
        <v>2513.5829025529665</v>
      </c>
      <c r="F148" s="2">
        <f t="shared" si="6"/>
        <v>1797.9504652543865</v>
      </c>
      <c r="G148" s="2">
        <f t="shared" si="7"/>
        <v>470236.39743201638</v>
      </c>
      <c r="H148" s="2">
        <f>IF(A148="","",MIN('Loan Inputs'!$B$18,MAX(0,C148+E148-'Loan Inputs'!$B$17)))</f>
        <v>250</v>
      </c>
    </row>
    <row r="149" spans="1:8" ht="22" customHeight="1">
      <c r="A149" s="1">
        <f>IF(AND('Loan Inputs'!$B$12,143&lt;=IF('Loan Inputs'!$B$12,'Loan Inputs'!$B$7,0)*'Loan Inputs'!$B$14+5*'Loan Inputs'!$B$14,ISNUMBER(G148),G148&gt;0),143,"")</f>
        <v>143</v>
      </c>
      <c r="B149" s="4">
        <f>IF(A149="","",IF('Loan Inputs'!$B$14=12,DATE(YEAR('Loan Inputs'!$B$8),MONTH('Loan Inputs'!$B$8)+A149,DAY('Loan Inputs'!$B$8)),'Loan Inputs'!$B$8+A149*IF('Loan Inputs'!$B$14=26,14,7)))</f>
        <v>50679</v>
      </c>
      <c r="C149" s="2">
        <f t="shared" si="8"/>
        <v>470236.39743201638</v>
      </c>
      <c r="D149" s="2">
        <f>IF(A149="","",MIN('Loan Inputs'!$B$17,C149+E149)+H149)</f>
        <v>4311.533367807353</v>
      </c>
      <c r="E149" s="2">
        <f>IF(A149="","",C149*'Loan Inputs'!$B$15)</f>
        <v>2504.0088163254873</v>
      </c>
      <c r="F149" s="2">
        <f t="shared" si="6"/>
        <v>1807.5245514818657</v>
      </c>
      <c r="G149" s="2">
        <f t="shared" si="7"/>
        <v>468428.8728805345</v>
      </c>
      <c r="H149" s="2">
        <f>IF(A149="","",MIN('Loan Inputs'!$B$18,MAX(0,C149+E149-'Loan Inputs'!$B$17)))</f>
        <v>250</v>
      </c>
    </row>
    <row r="150" spans="1:8" ht="22" customHeight="1">
      <c r="A150" s="1">
        <f>IF(AND('Loan Inputs'!$B$12,144&lt;=IF('Loan Inputs'!$B$12,'Loan Inputs'!$B$7,0)*'Loan Inputs'!$B$14+5*'Loan Inputs'!$B$14,ISNUMBER(G149),G149&gt;0),144,"")</f>
        <v>144</v>
      </c>
      <c r="B150" s="4">
        <f>IF(A150="","",IF('Loan Inputs'!$B$14=12,DATE(YEAR('Loan Inputs'!$B$8),MONTH('Loan Inputs'!$B$8)+A150,DAY('Loan Inputs'!$B$8)),'Loan Inputs'!$B$8+A150*IF('Loan Inputs'!$B$14=26,14,7)))</f>
        <v>50710</v>
      </c>
      <c r="C150" s="2">
        <f t="shared" si="8"/>
        <v>468428.8728805345</v>
      </c>
      <c r="D150" s="2">
        <f>IF(A150="","",MIN('Loan Inputs'!$B$17,C150+E150)+H150)</f>
        <v>4311.533367807353</v>
      </c>
      <c r="E150" s="2">
        <f>IF(A150="","",C150*'Loan Inputs'!$B$15)</f>
        <v>2494.383748088846</v>
      </c>
      <c r="F150" s="2">
        <f t="shared" si="6"/>
        <v>1817.149619718507</v>
      </c>
      <c r="G150" s="2">
        <f t="shared" si="7"/>
        <v>466611.72326081601</v>
      </c>
      <c r="H150" s="2">
        <f>IF(A150="","",MIN('Loan Inputs'!$B$18,MAX(0,C150+E150-'Loan Inputs'!$B$17)))</f>
        <v>250</v>
      </c>
    </row>
    <row r="151" spans="1:8" ht="22" customHeight="1">
      <c r="A151" s="1">
        <f>IF(AND('Loan Inputs'!$B$12,145&lt;=IF('Loan Inputs'!$B$12,'Loan Inputs'!$B$7,0)*'Loan Inputs'!$B$14+5*'Loan Inputs'!$B$14,ISNUMBER(G150),G150&gt;0),145,"")</f>
        <v>145</v>
      </c>
      <c r="B151" s="4">
        <f>IF(A151="","",IF('Loan Inputs'!$B$14=12,DATE(YEAR('Loan Inputs'!$B$8),MONTH('Loan Inputs'!$B$8)+A151,DAY('Loan Inputs'!$B$8)),'Loan Inputs'!$B$8+A151*IF('Loan Inputs'!$B$14=26,14,7)))</f>
        <v>50740</v>
      </c>
      <c r="C151" s="2">
        <f t="shared" si="8"/>
        <v>466611.72326081601</v>
      </c>
      <c r="D151" s="2">
        <f>IF(A151="","",MIN('Loan Inputs'!$B$17,C151+E151)+H151)</f>
        <v>4311.533367807353</v>
      </c>
      <c r="E151" s="2">
        <f>IF(A151="","",C151*'Loan Inputs'!$B$15)</f>
        <v>2484.7074263638451</v>
      </c>
      <c r="F151" s="2">
        <f t="shared" si="6"/>
        <v>1826.8259414435079</v>
      </c>
      <c r="G151" s="2">
        <f t="shared" si="7"/>
        <v>464784.89731937251</v>
      </c>
      <c r="H151" s="2">
        <f>IF(A151="","",MIN('Loan Inputs'!$B$18,MAX(0,C151+E151-'Loan Inputs'!$B$17)))</f>
        <v>250</v>
      </c>
    </row>
    <row r="152" spans="1:8" ht="22" customHeight="1">
      <c r="A152" s="1">
        <f>IF(AND('Loan Inputs'!$B$12,146&lt;=IF('Loan Inputs'!$B$12,'Loan Inputs'!$B$7,0)*'Loan Inputs'!$B$14+5*'Loan Inputs'!$B$14,ISNUMBER(G151),G151&gt;0),146,"")</f>
        <v>146</v>
      </c>
      <c r="B152" s="4">
        <f>IF(A152="","",IF('Loan Inputs'!$B$14=12,DATE(YEAR('Loan Inputs'!$B$8),MONTH('Loan Inputs'!$B$8)+A152,DAY('Loan Inputs'!$B$8)),'Loan Inputs'!$B$8+A152*IF('Loan Inputs'!$B$14=26,14,7)))</f>
        <v>50771</v>
      </c>
      <c r="C152" s="2">
        <f t="shared" si="8"/>
        <v>464784.89731937251</v>
      </c>
      <c r="D152" s="2">
        <f>IF(A152="","",MIN('Loan Inputs'!$B$17,C152+E152)+H152)</f>
        <v>4311.533367807353</v>
      </c>
      <c r="E152" s="2">
        <f>IF(A152="","",C152*'Loan Inputs'!$B$15)</f>
        <v>2474.9795782256588</v>
      </c>
      <c r="F152" s="2">
        <f t="shared" si="6"/>
        <v>1836.5537895816942</v>
      </c>
      <c r="G152" s="2">
        <f t="shared" si="7"/>
        <v>462948.34352979081</v>
      </c>
      <c r="H152" s="2">
        <f>IF(A152="","",MIN('Loan Inputs'!$B$18,MAX(0,C152+E152-'Loan Inputs'!$B$17)))</f>
        <v>250</v>
      </c>
    </row>
    <row r="153" spans="1:8" ht="22" customHeight="1">
      <c r="A153" s="1">
        <f>IF(AND('Loan Inputs'!$B$12,147&lt;=IF('Loan Inputs'!$B$12,'Loan Inputs'!$B$7,0)*'Loan Inputs'!$B$14+5*'Loan Inputs'!$B$14,ISNUMBER(G152),G152&gt;0),147,"")</f>
        <v>147</v>
      </c>
      <c r="B153" s="4">
        <f>IF(A153="","",IF('Loan Inputs'!$B$14=12,DATE(YEAR('Loan Inputs'!$B$8),MONTH('Loan Inputs'!$B$8)+A153,DAY('Loan Inputs'!$B$8)),'Loan Inputs'!$B$8+A153*IF('Loan Inputs'!$B$14=26,14,7)))</f>
        <v>50802</v>
      </c>
      <c r="C153" s="2">
        <f t="shared" si="8"/>
        <v>462948.34352979081</v>
      </c>
      <c r="D153" s="2">
        <f>IF(A153="","",MIN('Loan Inputs'!$B$17,C153+E153)+H153)</f>
        <v>4311.533367807353</v>
      </c>
      <c r="E153" s="2">
        <f>IF(A153="","",C153*'Loan Inputs'!$B$15)</f>
        <v>2465.1999292961359</v>
      </c>
      <c r="F153" s="2">
        <f t="shared" si="6"/>
        <v>1846.3334385112171</v>
      </c>
      <c r="G153" s="2">
        <f t="shared" si="7"/>
        <v>461102.01009127958</v>
      </c>
      <c r="H153" s="2">
        <f>IF(A153="","",MIN('Loan Inputs'!$B$18,MAX(0,C153+E153-'Loan Inputs'!$B$17)))</f>
        <v>250</v>
      </c>
    </row>
    <row r="154" spans="1:8" ht="22" customHeight="1">
      <c r="A154" s="1">
        <f>IF(AND('Loan Inputs'!$B$12,148&lt;=IF('Loan Inputs'!$B$12,'Loan Inputs'!$B$7,0)*'Loan Inputs'!$B$14+5*'Loan Inputs'!$B$14,ISNUMBER(G153),G153&gt;0),148,"")</f>
        <v>148</v>
      </c>
      <c r="B154" s="4">
        <f>IF(A154="","",IF('Loan Inputs'!$B$14=12,DATE(YEAR('Loan Inputs'!$B$8),MONTH('Loan Inputs'!$B$8)+A154,DAY('Loan Inputs'!$B$8)),'Loan Inputs'!$B$8+A154*IF('Loan Inputs'!$B$14=26,14,7)))</f>
        <v>50830</v>
      </c>
      <c r="C154" s="2">
        <f t="shared" si="8"/>
        <v>461102.01009127958</v>
      </c>
      <c r="D154" s="2">
        <f>IF(A154="","",MIN('Loan Inputs'!$B$17,C154+E154)+H154)</f>
        <v>4311.533367807353</v>
      </c>
      <c r="E154" s="2">
        <f>IF(A154="","",C154*'Loan Inputs'!$B$15)</f>
        <v>2455.3682037360636</v>
      </c>
      <c r="F154" s="2">
        <f t="shared" si="6"/>
        <v>1856.1651640712894</v>
      </c>
      <c r="G154" s="2">
        <f t="shared" si="7"/>
        <v>459245.84492720827</v>
      </c>
      <c r="H154" s="2">
        <f>IF(A154="","",MIN('Loan Inputs'!$B$18,MAX(0,C154+E154-'Loan Inputs'!$B$17)))</f>
        <v>250</v>
      </c>
    </row>
    <row r="155" spans="1:8" ht="22" customHeight="1">
      <c r="A155" s="1">
        <f>IF(AND('Loan Inputs'!$B$12,149&lt;=IF('Loan Inputs'!$B$12,'Loan Inputs'!$B$7,0)*'Loan Inputs'!$B$14+5*'Loan Inputs'!$B$14,ISNUMBER(G154),G154&gt;0),149,"")</f>
        <v>149</v>
      </c>
      <c r="B155" s="4">
        <f>IF(A155="","",IF('Loan Inputs'!$B$14=12,DATE(YEAR('Loan Inputs'!$B$8),MONTH('Loan Inputs'!$B$8)+A155,DAY('Loan Inputs'!$B$8)),'Loan Inputs'!$B$8+A155*IF('Loan Inputs'!$B$14=26,14,7)))</f>
        <v>50861</v>
      </c>
      <c r="C155" s="2">
        <f t="shared" si="8"/>
        <v>459245.84492720827</v>
      </c>
      <c r="D155" s="2">
        <f>IF(A155="","",MIN('Loan Inputs'!$B$17,C155+E155)+H155)</f>
        <v>4311.533367807353</v>
      </c>
      <c r="E155" s="2">
        <f>IF(A155="","",C155*'Loan Inputs'!$B$15)</f>
        <v>2445.4841242373841</v>
      </c>
      <c r="F155" s="2">
        <f t="shared" si="6"/>
        <v>1866.0492435699689</v>
      </c>
      <c r="G155" s="2">
        <f t="shared" si="7"/>
        <v>457379.79568363831</v>
      </c>
      <c r="H155" s="2">
        <f>IF(A155="","",MIN('Loan Inputs'!$B$18,MAX(0,C155+E155-'Loan Inputs'!$B$17)))</f>
        <v>250</v>
      </c>
    </row>
    <row r="156" spans="1:8" ht="22" customHeight="1">
      <c r="A156" s="1">
        <f>IF(AND('Loan Inputs'!$B$12,150&lt;=IF('Loan Inputs'!$B$12,'Loan Inputs'!$B$7,0)*'Loan Inputs'!$B$14+5*'Loan Inputs'!$B$14,ISNUMBER(G155),G155&gt;0),150,"")</f>
        <v>150</v>
      </c>
      <c r="B156" s="4">
        <f>IF(A156="","",IF('Loan Inputs'!$B$14=12,DATE(YEAR('Loan Inputs'!$B$8),MONTH('Loan Inputs'!$B$8)+A156,DAY('Loan Inputs'!$B$8)),'Loan Inputs'!$B$8+A156*IF('Loan Inputs'!$B$14=26,14,7)))</f>
        <v>50891</v>
      </c>
      <c r="C156" s="2">
        <f t="shared" si="8"/>
        <v>457379.79568363831</v>
      </c>
      <c r="D156" s="2">
        <f>IF(A156="","",MIN('Loan Inputs'!$B$17,C156+E156)+H156)</f>
        <v>4311.533367807353</v>
      </c>
      <c r="E156" s="2">
        <f>IF(A156="","",C156*'Loan Inputs'!$B$15)</f>
        <v>2435.547412015374</v>
      </c>
      <c r="F156" s="2">
        <f t="shared" si="6"/>
        <v>1875.985955791979</v>
      </c>
      <c r="G156" s="2">
        <f t="shared" si="7"/>
        <v>455503.80972784635</v>
      </c>
      <c r="H156" s="2">
        <f>IF(A156="","",MIN('Loan Inputs'!$B$18,MAX(0,C156+E156-'Loan Inputs'!$B$17)))</f>
        <v>250</v>
      </c>
    </row>
    <row r="157" spans="1:8" ht="22" customHeight="1">
      <c r="A157" s="1">
        <f>IF(AND('Loan Inputs'!$B$12,151&lt;=IF('Loan Inputs'!$B$12,'Loan Inputs'!$B$7,0)*'Loan Inputs'!$B$14+5*'Loan Inputs'!$B$14,ISNUMBER(G156),G156&gt;0),151,"")</f>
        <v>151</v>
      </c>
      <c r="B157" s="4">
        <f>IF(A157="","",IF('Loan Inputs'!$B$14=12,DATE(YEAR('Loan Inputs'!$B$8),MONTH('Loan Inputs'!$B$8)+A157,DAY('Loan Inputs'!$B$8)),'Loan Inputs'!$B$8+A157*IF('Loan Inputs'!$B$14=26,14,7)))</f>
        <v>50922</v>
      </c>
      <c r="C157" s="2">
        <f t="shared" si="8"/>
        <v>455503.80972784635</v>
      </c>
      <c r="D157" s="2">
        <f>IF(A157="","",MIN('Loan Inputs'!$B$17,C157+E157)+H157)</f>
        <v>4311.533367807353</v>
      </c>
      <c r="E157" s="2">
        <f>IF(A157="","",C157*'Loan Inputs'!$B$15)</f>
        <v>2425.5577868007817</v>
      </c>
      <c r="F157" s="2">
        <f t="shared" si="6"/>
        <v>1885.9755810065712</v>
      </c>
      <c r="G157" s="2">
        <f t="shared" si="7"/>
        <v>453617.8341468398</v>
      </c>
      <c r="H157" s="2">
        <f>IF(A157="","",MIN('Loan Inputs'!$B$18,MAX(0,C157+E157-'Loan Inputs'!$B$17)))</f>
        <v>250</v>
      </c>
    </row>
    <row r="158" spans="1:8" ht="22" customHeight="1">
      <c r="A158" s="1">
        <f>IF(AND('Loan Inputs'!$B$12,152&lt;=IF('Loan Inputs'!$B$12,'Loan Inputs'!$B$7,0)*'Loan Inputs'!$B$14+5*'Loan Inputs'!$B$14,ISNUMBER(G157),G157&gt;0),152,"")</f>
        <v>152</v>
      </c>
      <c r="B158" s="4">
        <f>IF(A158="","",IF('Loan Inputs'!$B$14=12,DATE(YEAR('Loan Inputs'!$B$8),MONTH('Loan Inputs'!$B$8)+A158,DAY('Loan Inputs'!$B$8)),'Loan Inputs'!$B$8+A158*IF('Loan Inputs'!$B$14=26,14,7)))</f>
        <v>50952</v>
      </c>
      <c r="C158" s="2">
        <f t="shared" si="8"/>
        <v>453617.8341468398</v>
      </c>
      <c r="D158" s="2">
        <f>IF(A158="","",MIN('Loan Inputs'!$B$17,C158+E158)+H158)</f>
        <v>4311.533367807353</v>
      </c>
      <c r="E158" s="2">
        <f>IF(A158="","",C158*'Loan Inputs'!$B$15)</f>
        <v>2415.5149668319218</v>
      </c>
      <c r="F158" s="2">
        <f t="shared" si="6"/>
        <v>1896.0184009754312</v>
      </c>
      <c r="G158" s="2">
        <f t="shared" si="7"/>
        <v>451721.81574586435</v>
      </c>
      <c r="H158" s="2">
        <f>IF(A158="","",MIN('Loan Inputs'!$B$18,MAX(0,C158+E158-'Loan Inputs'!$B$17)))</f>
        <v>250</v>
      </c>
    </row>
    <row r="159" spans="1:8" ht="22" customHeight="1">
      <c r="A159" s="1">
        <f>IF(AND('Loan Inputs'!$B$12,153&lt;=IF('Loan Inputs'!$B$12,'Loan Inputs'!$B$7,0)*'Loan Inputs'!$B$14+5*'Loan Inputs'!$B$14,ISNUMBER(G158),G158&gt;0),153,"")</f>
        <v>153</v>
      </c>
      <c r="B159" s="4">
        <f>IF(A159="","",IF('Loan Inputs'!$B$14=12,DATE(YEAR('Loan Inputs'!$B$8),MONTH('Loan Inputs'!$B$8)+A159,DAY('Loan Inputs'!$B$8)),'Loan Inputs'!$B$8+A159*IF('Loan Inputs'!$B$14=26,14,7)))</f>
        <v>50983</v>
      </c>
      <c r="C159" s="2">
        <f t="shared" si="8"/>
        <v>451721.81574586435</v>
      </c>
      <c r="D159" s="2">
        <f>IF(A159="","",MIN('Loan Inputs'!$B$17,C159+E159)+H159)</f>
        <v>4311.533367807353</v>
      </c>
      <c r="E159" s="2">
        <f>IF(A159="","",C159*'Loan Inputs'!$B$15)</f>
        <v>2405.4186688467275</v>
      </c>
      <c r="F159" s="2">
        <f t="shared" si="6"/>
        <v>1906.1146989606254</v>
      </c>
      <c r="G159" s="2">
        <f t="shared" si="7"/>
        <v>449815.70104690373</v>
      </c>
      <c r="H159" s="2">
        <f>IF(A159="","",MIN('Loan Inputs'!$B$18,MAX(0,C159+E159-'Loan Inputs'!$B$17)))</f>
        <v>250</v>
      </c>
    </row>
    <row r="160" spans="1:8" ht="22" customHeight="1">
      <c r="A160" s="1">
        <f>IF(AND('Loan Inputs'!$B$12,154&lt;=IF('Loan Inputs'!$B$12,'Loan Inputs'!$B$7,0)*'Loan Inputs'!$B$14+5*'Loan Inputs'!$B$14,ISNUMBER(G159),G159&gt;0),154,"")</f>
        <v>154</v>
      </c>
      <c r="B160" s="4">
        <f>IF(A160="","",IF('Loan Inputs'!$B$14=12,DATE(YEAR('Loan Inputs'!$B$8),MONTH('Loan Inputs'!$B$8)+A160,DAY('Loan Inputs'!$B$8)),'Loan Inputs'!$B$8+A160*IF('Loan Inputs'!$B$14=26,14,7)))</f>
        <v>51014</v>
      </c>
      <c r="C160" s="2">
        <f t="shared" si="8"/>
        <v>449815.70104690373</v>
      </c>
      <c r="D160" s="2">
        <f>IF(A160="","",MIN('Loan Inputs'!$B$17,C160+E160)+H160)</f>
        <v>4311.533367807353</v>
      </c>
      <c r="E160" s="2">
        <f>IF(A160="","",C160*'Loan Inputs'!$B$15)</f>
        <v>2395.2686080747621</v>
      </c>
      <c r="F160" s="2">
        <f t="shared" si="6"/>
        <v>1916.2647597325908</v>
      </c>
      <c r="G160" s="2">
        <f t="shared" si="7"/>
        <v>447899.43628717115</v>
      </c>
      <c r="H160" s="2">
        <f>IF(A160="","",MIN('Loan Inputs'!$B$18,MAX(0,C160+E160-'Loan Inputs'!$B$17)))</f>
        <v>250</v>
      </c>
    </row>
    <row r="161" spans="1:8" ht="22" customHeight="1">
      <c r="A161" s="1">
        <f>IF(AND('Loan Inputs'!$B$12,155&lt;=IF('Loan Inputs'!$B$12,'Loan Inputs'!$B$7,0)*'Loan Inputs'!$B$14+5*'Loan Inputs'!$B$14,ISNUMBER(G160),G160&gt;0),155,"")</f>
        <v>155</v>
      </c>
      <c r="B161" s="4">
        <f>IF(A161="","",IF('Loan Inputs'!$B$14=12,DATE(YEAR('Loan Inputs'!$B$8),MONTH('Loan Inputs'!$B$8)+A161,DAY('Loan Inputs'!$B$8)),'Loan Inputs'!$B$8+A161*IF('Loan Inputs'!$B$14=26,14,7)))</f>
        <v>51044</v>
      </c>
      <c r="C161" s="2">
        <f t="shared" si="8"/>
        <v>447899.43628717115</v>
      </c>
      <c r="D161" s="2">
        <f>IF(A161="","",MIN('Loan Inputs'!$B$17,C161+E161)+H161)</f>
        <v>4311.533367807353</v>
      </c>
      <c r="E161" s="2">
        <f>IF(A161="","",C161*'Loan Inputs'!$B$15)</f>
        <v>2385.0644982291865</v>
      </c>
      <c r="F161" s="2">
        <f t="shared" si="6"/>
        <v>1926.4688695781665</v>
      </c>
      <c r="G161" s="2">
        <f t="shared" si="7"/>
        <v>445972.967417593</v>
      </c>
      <c r="H161" s="2">
        <f>IF(A161="","",MIN('Loan Inputs'!$B$18,MAX(0,C161+E161-'Loan Inputs'!$B$17)))</f>
        <v>250</v>
      </c>
    </row>
    <row r="162" spans="1:8" ht="22" customHeight="1">
      <c r="A162" s="1">
        <f>IF(AND('Loan Inputs'!$B$12,156&lt;=IF('Loan Inputs'!$B$12,'Loan Inputs'!$B$7,0)*'Loan Inputs'!$B$14+5*'Loan Inputs'!$B$14,ISNUMBER(G161),G161&gt;0),156,"")</f>
        <v>156</v>
      </c>
      <c r="B162" s="4">
        <f>IF(A162="","",IF('Loan Inputs'!$B$14=12,DATE(YEAR('Loan Inputs'!$B$8),MONTH('Loan Inputs'!$B$8)+A162,DAY('Loan Inputs'!$B$8)),'Loan Inputs'!$B$8+A162*IF('Loan Inputs'!$B$14=26,14,7)))</f>
        <v>51075</v>
      </c>
      <c r="C162" s="2">
        <f t="shared" si="8"/>
        <v>445972.967417593</v>
      </c>
      <c r="D162" s="2">
        <f>IF(A162="","",MIN('Loan Inputs'!$B$17,C162+E162)+H162)</f>
        <v>4311.533367807353</v>
      </c>
      <c r="E162" s="2">
        <f>IF(A162="","",C162*'Loan Inputs'!$B$15)</f>
        <v>2374.8060514986828</v>
      </c>
      <c r="F162" s="2">
        <f t="shared" si="6"/>
        <v>1936.7273163086702</v>
      </c>
      <c r="G162" s="2">
        <f t="shared" si="7"/>
        <v>444036.24010128435</v>
      </c>
      <c r="H162" s="2">
        <f>IF(A162="","",MIN('Loan Inputs'!$B$18,MAX(0,C162+E162-'Loan Inputs'!$B$17)))</f>
        <v>250</v>
      </c>
    </row>
    <row r="163" spans="1:8" ht="22" customHeight="1">
      <c r="A163" s="1">
        <f>IF(AND('Loan Inputs'!$B$12,157&lt;=IF('Loan Inputs'!$B$12,'Loan Inputs'!$B$7,0)*'Loan Inputs'!$B$14+5*'Loan Inputs'!$B$14,ISNUMBER(G162),G162&gt;0),157,"")</f>
        <v>157</v>
      </c>
      <c r="B163" s="4">
        <f>IF(A163="","",IF('Loan Inputs'!$B$14=12,DATE(YEAR('Loan Inputs'!$B$8),MONTH('Loan Inputs'!$B$8)+A163,DAY('Loan Inputs'!$B$8)),'Loan Inputs'!$B$8+A163*IF('Loan Inputs'!$B$14=26,14,7)))</f>
        <v>51105</v>
      </c>
      <c r="C163" s="2">
        <f t="shared" si="8"/>
        <v>444036.24010128435</v>
      </c>
      <c r="D163" s="2">
        <f>IF(A163="","",MIN('Loan Inputs'!$B$17,C163+E163)+H163)</f>
        <v>4311.533367807353</v>
      </c>
      <c r="E163" s="2">
        <f>IF(A163="","",C163*'Loan Inputs'!$B$15)</f>
        <v>2364.4929785393392</v>
      </c>
      <c r="F163" s="2">
        <f t="shared" si="6"/>
        <v>1947.0403892680138</v>
      </c>
      <c r="G163" s="2">
        <f t="shared" si="7"/>
        <v>442089.19971201633</v>
      </c>
      <c r="H163" s="2">
        <f>IF(A163="","",MIN('Loan Inputs'!$B$18,MAX(0,C163+E163-'Loan Inputs'!$B$17)))</f>
        <v>250</v>
      </c>
    </row>
    <row r="164" spans="1:8" ht="22" customHeight="1">
      <c r="A164" s="1">
        <f>IF(AND('Loan Inputs'!$B$12,158&lt;=IF('Loan Inputs'!$B$12,'Loan Inputs'!$B$7,0)*'Loan Inputs'!$B$14+5*'Loan Inputs'!$B$14,ISNUMBER(G163),G163&gt;0),158,"")</f>
        <v>158</v>
      </c>
      <c r="B164" s="4">
        <f>IF(A164="","",IF('Loan Inputs'!$B$14=12,DATE(YEAR('Loan Inputs'!$B$8),MONTH('Loan Inputs'!$B$8)+A164,DAY('Loan Inputs'!$B$8)),'Loan Inputs'!$B$8+A164*IF('Loan Inputs'!$B$14=26,14,7)))</f>
        <v>51136</v>
      </c>
      <c r="C164" s="2">
        <f t="shared" si="8"/>
        <v>442089.19971201633</v>
      </c>
      <c r="D164" s="2">
        <f>IF(A164="","",MIN('Loan Inputs'!$B$17,C164+E164)+H164)</f>
        <v>4311.533367807353</v>
      </c>
      <c r="E164" s="2">
        <f>IF(A164="","",C164*'Loan Inputs'!$B$15)</f>
        <v>2354.1249884664867</v>
      </c>
      <c r="F164" s="2">
        <f t="shared" si="6"/>
        <v>1957.4083793408663</v>
      </c>
      <c r="G164" s="2">
        <f t="shared" si="7"/>
        <v>440131.79133267544</v>
      </c>
      <c r="H164" s="2">
        <f>IF(A164="","",MIN('Loan Inputs'!$B$18,MAX(0,C164+E164-'Loan Inputs'!$B$17)))</f>
        <v>250</v>
      </c>
    </row>
    <row r="165" spans="1:8" ht="22" customHeight="1">
      <c r="A165" s="1">
        <f>IF(AND('Loan Inputs'!$B$12,159&lt;=IF('Loan Inputs'!$B$12,'Loan Inputs'!$B$7,0)*'Loan Inputs'!$B$14+5*'Loan Inputs'!$B$14,ISNUMBER(G164),G164&gt;0),159,"")</f>
        <v>159</v>
      </c>
      <c r="B165" s="4">
        <f>IF(A165="","",IF('Loan Inputs'!$B$14=12,DATE(YEAR('Loan Inputs'!$B$8),MONTH('Loan Inputs'!$B$8)+A165,DAY('Loan Inputs'!$B$8)),'Loan Inputs'!$B$8+A165*IF('Loan Inputs'!$B$14=26,14,7)))</f>
        <v>51167</v>
      </c>
      <c r="C165" s="2">
        <f t="shared" si="8"/>
        <v>440131.79133267544</v>
      </c>
      <c r="D165" s="2">
        <f>IF(A165="","",MIN('Loan Inputs'!$B$17,C165+E165)+H165)</f>
        <v>4311.533367807353</v>
      </c>
      <c r="E165" s="2">
        <f>IF(A165="","",C165*'Loan Inputs'!$B$15)</f>
        <v>2343.7017888464966</v>
      </c>
      <c r="F165" s="2">
        <f t="shared" si="6"/>
        <v>1967.8315789608564</v>
      </c>
      <c r="G165" s="2">
        <f t="shared" si="7"/>
        <v>438163.95975371456</v>
      </c>
      <c r="H165" s="2">
        <f>IF(A165="","",MIN('Loan Inputs'!$B$18,MAX(0,C165+E165-'Loan Inputs'!$B$17)))</f>
        <v>250</v>
      </c>
    </row>
    <row r="166" spans="1:8" ht="22" customHeight="1">
      <c r="A166" s="1">
        <f>IF(AND('Loan Inputs'!$B$12,160&lt;=IF('Loan Inputs'!$B$12,'Loan Inputs'!$B$7,0)*'Loan Inputs'!$B$14+5*'Loan Inputs'!$B$14,ISNUMBER(G165),G165&gt;0),160,"")</f>
        <v>160</v>
      </c>
      <c r="B166" s="4">
        <f>IF(A166="","",IF('Loan Inputs'!$B$14=12,DATE(YEAR('Loan Inputs'!$B$8),MONTH('Loan Inputs'!$B$8)+A166,DAY('Loan Inputs'!$B$8)),'Loan Inputs'!$B$8+A166*IF('Loan Inputs'!$B$14=26,14,7)))</f>
        <v>51196</v>
      </c>
      <c r="C166" s="2">
        <f t="shared" si="8"/>
        <v>438163.95975371456</v>
      </c>
      <c r="D166" s="2">
        <f>IF(A166="","",MIN('Loan Inputs'!$B$17,C166+E166)+H166)</f>
        <v>4311.533367807353</v>
      </c>
      <c r="E166" s="2">
        <f>IF(A166="","",C166*'Loan Inputs'!$B$15)</f>
        <v>2333.2230856885299</v>
      </c>
      <c r="F166" s="2">
        <f t="shared" si="6"/>
        <v>1978.3102821188231</v>
      </c>
      <c r="G166" s="2">
        <f t="shared" si="7"/>
        <v>436185.64947159571</v>
      </c>
      <c r="H166" s="2">
        <f>IF(A166="","",MIN('Loan Inputs'!$B$18,MAX(0,C166+E166-'Loan Inputs'!$B$17)))</f>
        <v>250</v>
      </c>
    </row>
    <row r="167" spans="1:8" ht="22" customHeight="1">
      <c r="A167" s="1">
        <f>IF(AND('Loan Inputs'!$B$12,161&lt;=IF('Loan Inputs'!$B$12,'Loan Inputs'!$B$7,0)*'Loan Inputs'!$B$14+5*'Loan Inputs'!$B$14,ISNUMBER(G166),G166&gt;0),161,"")</f>
        <v>161</v>
      </c>
      <c r="B167" s="4">
        <f>IF(A167="","",IF('Loan Inputs'!$B$14=12,DATE(YEAR('Loan Inputs'!$B$8),MONTH('Loan Inputs'!$B$8)+A167,DAY('Loan Inputs'!$B$8)),'Loan Inputs'!$B$8+A167*IF('Loan Inputs'!$B$14=26,14,7)))</f>
        <v>51227</v>
      </c>
      <c r="C167" s="2">
        <f t="shared" si="8"/>
        <v>436185.64947159571</v>
      </c>
      <c r="D167" s="2">
        <f>IF(A167="","",MIN('Loan Inputs'!$B$17,C167+E167)+H167)</f>
        <v>4311.533367807353</v>
      </c>
      <c r="E167" s="2">
        <f>IF(A167="","",C167*'Loan Inputs'!$B$15)</f>
        <v>2322.688583436247</v>
      </c>
      <c r="F167" s="2">
        <f t="shared" si="6"/>
        <v>1988.844784371106</v>
      </c>
      <c r="G167" s="2">
        <f t="shared" si="7"/>
        <v>434196.80468722462</v>
      </c>
      <c r="H167" s="2">
        <f>IF(A167="","",MIN('Loan Inputs'!$B$18,MAX(0,C167+E167-'Loan Inputs'!$B$17)))</f>
        <v>250</v>
      </c>
    </row>
    <row r="168" spans="1:8" ht="22" customHeight="1">
      <c r="A168" s="1">
        <f>IF(AND('Loan Inputs'!$B$12,162&lt;=IF('Loan Inputs'!$B$12,'Loan Inputs'!$B$7,0)*'Loan Inputs'!$B$14+5*'Loan Inputs'!$B$14,ISNUMBER(G167),G167&gt;0),162,"")</f>
        <v>162</v>
      </c>
      <c r="B168" s="4">
        <f>IF(A168="","",IF('Loan Inputs'!$B$14=12,DATE(YEAR('Loan Inputs'!$B$8),MONTH('Loan Inputs'!$B$8)+A168,DAY('Loan Inputs'!$B$8)),'Loan Inputs'!$B$8+A168*IF('Loan Inputs'!$B$14=26,14,7)))</f>
        <v>51257</v>
      </c>
      <c r="C168" s="2">
        <f t="shared" si="8"/>
        <v>434196.80468722462</v>
      </c>
      <c r="D168" s="2">
        <f>IF(A168="","",MIN('Loan Inputs'!$B$17,C168+E168)+H168)</f>
        <v>4311.533367807353</v>
      </c>
      <c r="E168" s="2">
        <f>IF(A168="","",C168*'Loan Inputs'!$B$15)</f>
        <v>2312.097984959471</v>
      </c>
      <c r="F168" s="2">
        <f t="shared" si="6"/>
        <v>1999.435382847882</v>
      </c>
      <c r="G168" s="2">
        <f t="shared" si="7"/>
        <v>432197.36930437671</v>
      </c>
      <c r="H168" s="2">
        <f>IF(A168="","",MIN('Loan Inputs'!$B$18,MAX(0,C168+E168-'Loan Inputs'!$B$17)))</f>
        <v>250</v>
      </c>
    </row>
    <row r="169" spans="1:8" ht="22" customHeight="1">
      <c r="A169" s="1">
        <f>IF(AND('Loan Inputs'!$B$12,163&lt;=IF('Loan Inputs'!$B$12,'Loan Inputs'!$B$7,0)*'Loan Inputs'!$B$14+5*'Loan Inputs'!$B$14,ISNUMBER(G168),G168&gt;0),163,"")</f>
        <v>163</v>
      </c>
      <c r="B169" s="4">
        <f>IF(A169="","",IF('Loan Inputs'!$B$14=12,DATE(YEAR('Loan Inputs'!$B$8),MONTH('Loan Inputs'!$B$8)+A169,DAY('Loan Inputs'!$B$8)),'Loan Inputs'!$B$8+A169*IF('Loan Inputs'!$B$14=26,14,7)))</f>
        <v>51288</v>
      </c>
      <c r="C169" s="2">
        <f t="shared" si="8"/>
        <v>432197.36930437671</v>
      </c>
      <c r="D169" s="2">
        <f>IF(A169="","",MIN('Loan Inputs'!$B$17,C169+E169)+H169)</f>
        <v>4311.533367807353</v>
      </c>
      <c r="E169" s="2">
        <f>IF(A169="","",C169*'Loan Inputs'!$B$15)</f>
        <v>2301.4509915458061</v>
      </c>
      <c r="F169" s="2">
        <f t="shared" si="6"/>
        <v>2010.0823762615469</v>
      </c>
      <c r="G169" s="2">
        <f t="shared" si="7"/>
        <v>430187.28692811518</v>
      </c>
      <c r="H169" s="2">
        <f>IF(A169="","",MIN('Loan Inputs'!$B$18,MAX(0,C169+E169-'Loan Inputs'!$B$17)))</f>
        <v>250</v>
      </c>
    </row>
    <row r="170" spans="1:8" ht="22" customHeight="1">
      <c r="A170" s="1">
        <f>IF(AND('Loan Inputs'!$B$12,164&lt;=IF('Loan Inputs'!$B$12,'Loan Inputs'!$B$7,0)*'Loan Inputs'!$B$14+5*'Loan Inputs'!$B$14,ISNUMBER(G169),G169&gt;0),164,"")</f>
        <v>164</v>
      </c>
      <c r="B170" s="4">
        <f>IF(A170="","",IF('Loan Inputs'!$B$14=12,DATE(YEAR('Loan Inputs'!$B$8),MONTH('Loan Inputs'!$B$8)+A170,DAY('Loan Inputs'!$B$8)),'Loan Inputs'!$B$8+A170*IF('Loan Inputs'!$B$14=26,14,7)))</f>
        <v>51318</v>
      </c>
      <c r="C170" s="2">
        <f t="shared" si="8"/>
        <v>430187.28692811518</v>
      </c>
      <c r="D170" s="2">
        <f>IF(A170="","",MIN('Loan Inputs'!$B$17,C170+E170)+H170)</f>
        <v>4311.533367807353</v>
      </c>
      <c r="E170" s="2">
        <f>IF(A170="","",C170*'Loan Inputs'!$B$15)</f>
        <v>2290.7473028922132</v>
      </c>
      <c r="F170" s="2">
        <f t="shared" si="6"/>
        <v>2020.7860649151398</v>
      </c>
      <c r="G170" s="2">
        <f t="shared" si="7"/>
        <v>428166.50086320005</v>
      </c>
      <c r="H170" s="2">
        <f>IF(A170="","",MIN('Loan Inputs'!$B$18,MAX(0,C170+E170-'Loan Inputs'!$B$17)))</f>
        <v>250</v>
      </c>
    </row>
    <row r="171" spans="1:8" ht="22" customHeight="1">
      <c r="A171" s="1">
        <f>IF(AND('Loan Inputs'!$B$12,165&lt;=IF('Loan Inputs'!$B$12,'Loan Inputs'!$B$7,0)*'Loan Inputs'!$B$14+5*'Loan Inputs'!$B$14,ISNUMBER(G170),G170&gt;0),165,"")</f>
        <v>165</v>
      </c>
      <c r="B171" s="4">
        <f>IF(A171="","",IF('Loan Inputs'!$B$14=12,DATE(YEAR('Loan Inputs'!$B$8),MONTH('Loan Inputs'!$B$8)+A171,DAY('Loan Inputs'!$B$8)),'Loan Inputs'!$B$8+A171*IF('Loan Inputs'!$B$14=26,14,7)))</f>
        <v>51349</v>
      </c>
      <c r="C171" s="2">
        <f t="shared" si="8"/>
        <v>428166.50086320005</v>
      </c>
      <c r="D171" s="2">
        <f>IF(A171="","",MIN('Loan Inputs'!$B$17,C171+E171)+H171)</f>
        <v>4311.533367807353</v>
      </c>
      <c r="E171" s="2">
        <f>IF(A171="","",C171*'Loan Inputs'!$B$15)</f>
        <v>2279.9866170965402</v>
      </c>
      <c r="F171" s="2">
        <f t="shared" si="6"/>
        <v>2031.5467507108128</v>
      </c>
      <c r="G171" s="2">
        <f t="shared" si="7"/>
        <v>426134.95411248924</v>
      </c>
      <c r="H171" s="2">
        <f>IF(A171="","",MIN('Loan Inputs'!$B$18,MAX(0,C171+E171-'Loan Inputs'!$B$17)))</f>
        <v>250</v>
      </c>
    </row>
    <row r="172" spans="1:8" ht="22" customHeight="1">
      <c r="A172" s="1">
        <f>IF(AND('Loan Inputs'!$B$12,166&lt;=IF('Loan Inputs'!$B$12,'Loan Inputs'!$B$7,0)*'Loan Inputs'!$B$14+5*'Loan Inputs'!$B$14,ISNUMBER(G171),G171&gt;0),166,"")</f>
        <v>166</v>
      </c>
      <c r="B172" s="4">
        <f>IF(A172="","",IF('Loan Inputs'!$B$14=12,DATE(YEAR('Loan Inputs'!$B$8),MONTH('Loan Inputs'!$B$8)+A172,DAY('Loan Inputs'!$B$8)),'Loan Inputs'!$B$8+A172*IF('Loan Inputs'!$B$14=26,14,7)))</f>
        <v>51380</v>
      </c>
      <c r="C172" s="2">
        <f t="shared" si="8"/>
        <v>426134.95411248924</v>
      </c>
      <c r="D172" s="2">
        <f>IF(A172="","",MIN('Loan Inputs'!$B$17,C172+E172)+H172)</f>
        <v>4311.533367807353</v>
      </c>
      <c r="E172" s="2">
        <f>IF(A172="","",C172*'Loan Inputs'!$B$15)</f>
        <v>2269.1686306490051</v>
      </c>
      <c r="F172" s="2">
        <f t="shared" si="6"/>
        <v>2042.3647371583479</v>
      </c>
      <c r="G172" s="2">
        <f t="shared" si="7"/>
        <v>424092.58937533089</v>
      </c>
      <c r="H172" s="2">
        <f>IF(A172="","",MIN('Loan Inputs'!$B$18,MAX(0,C172+E172-'Loan Inputs'!$B$17)))</f>
        <v>250</v>
      </c>
    </row>
    <row r="173" spans="1:8" ht="22" customHeight="1">
      <c r="A173" s="1">
        <f>IF(AND('Loan Inputs'!$B$12,167&lt;=IF('Loan Inputs'!$B$12,'Loan Inputs'!$B$7,0)*'Loan Inputs'!$B$14+5*'Loan Inputs'!$B$14,ISNUMBER(G172),G172&gt;0),167,"")</f>
        <v>167</v>
      </c>
      <c r="B173" s="4">
        <f>IF(A173="","",IF('Loan Inputs'!$B$14=12,DATE(YEAR('Loan Inputs'!$B$8),MONTH('Loan Inputs'!$B$8)+A173,DAY('Loan Inputs'!$B$8)),'Loan Inputs'!$B$8+A173*IF('Loan Inputs'!$B$14=26,14,7)))</f>
        <v>51410</v>
      </c>
      <c r="C173" s="2">
        <f t="shared" si="8"/>
        <v>424092.58937533089</v>
      </c>
      <c r="D173" s="2">
        <f>IF(A173="","",MIN('Loan Inputs'!$B$17,C173+E173)+H173)</f>
        <v>4311.533367807353</v>
      </c>
      <c r="E173" s="2">
        <f>IF(A173="","",C173*'Loan Inputs'!$B$15)</f>
        <v>2258.293038423637</v>
      </c>
      <c r="F173" s="2">
        <f t="shared" si="6"/>
        <v>2053.240329383716</v>
      </c>
      <c r="G173" s="2">
        <f t="shared" si="7"/>
        <v>422039.34904594719</v>
      </c>
      <c r="H173" s="2">
        <f>IF(A173="","",MIN('Loan Inputs'!$B$18,MAX(0,C173+E173-'Loan Inputs'!$B$17)))</f>
        <v>250</v>
      </c>
    </row>
    <row r="174" spans="1:8" ht="22" customHeight="1">
      <c r="A174" s="1">
        <f>IF(AND('Loan Inputs'!$B$12,168&lt;=IF('Loan Inputs'!$B$12,'Loan Inputs'!$B$7,0)*'Loan Inputs'!$B$14+5*'Loan Inputs'!$B$14,ISNUMBER(G173),G173&gt;0),168,"")</f>
        <v>168</v>
      </c>
      <c r="B174" s="4">
        <f>IF(A174="","",IF('Loan Inputs'!$B$14=12,DATE(YEAR('Loan Inputs'!$B$8),MONTH('Loan Inputs'!$B$8)+A174,DAY('Loan Inputs'!$B$8)),'Loan Inputs'!$B$8+A174*IF('Loan Inputs'!$B$14=26,14,7)))</f>
        <v>51441</v>
      </c>
      <c r="C174" s="2">
        <f t="shared" si="8"/>
        <v>422039.34904594719</v>
      </c>
      <c r="D174" s="2">
        <f>IF(A174="","",MIN('Loan Inputs'!$B$17,C174+E174)+H174)</f>
        <v>4311.533367807353</v>
      </c>
      <c r="E174" s="2">
        <f>IF(A174="","",C174*'Loan Inputs'!$B$15)</f>
        <v>2247.359533669669</v>
      </c>
      <c r="F174" s="2">
        <f t="shared" si="6"/>
        <v>2064.173834137684</v>
      </c>
      <c r="G174" s="2">
        <f t="shared" si="7"/>
        <v>419975.17521180952</v>
      </c>
      <c r="H174" s="2">
        <f>IF(A174="","",MIN('Loan Inputs'!$B$18,MAX(0,C174+E174-'Loan Inputs'!$B$17)))</f>
        <v>250</v>
      </c>
    </row>
    <row r="175" spans="1:8" ht="22" customHeight="1">
      <c r="A175" s="1">
        <f>IF(AND('Loan Inputs'!$B$12,169&lt;=IF('Loan Inputs'!$B$12,'Loan Inputs'!$B$7,0)*'Loan Inputs'!$B$14+5*'Loan Inputs'!$B$14,ISNUMBER(G174),G174&gt;0),169,"")</f>
        <v>169</v>
      </c>
      <c r="B175" s="4">
        <f>IF(A175="","",IF('Loan Inputs'!$B$14=12,DATE(YEAR('Loan Inputs'!$B$8),MONTH('Loan Inputs'!$B$8)+A175,DAY('Loan Inputs'!$B$8)),'Loan Inputs'!$B$8+A175*IF('Loan Inputs'!$B$14=26,14,7)))</f>
        <v>51471</v>
      </c>
      <c r="C175" s="2">
        <f t="shared" si="8"/>
        <v>419975.17521180952</v>
      </c>
      <c r="D175" s="2">
        <f>IF(A175="","",MIN('Loan Inputs'!$B$17,C175+E175)+H175)</f>
        <v>4311.533367807353</v>
      </c>
      <c r="E175" s="2">
        <f>IF(A175="","",C175*'Loan Inputs'!$B$15)</f>
        <v>2236.3678080028858</v>
      </c>
      <c r="F175" s="2">
        <f t="shared" si="6"/>
        <v>2075.1655598044672</v>
      </c>
      <c r="G175" s="2">
        <f t="shared" si="7"/>
        <v>417900.00965200504</v>
      </c>
      <c r="H175" s="2">
        <f>IF(A175="","",MIN('Loan Inputs'!$B$18,MAX(0,C175+E175-'Loan Inputs'!$B$17)))</f>
        <v>250</v>
      </c>
    </row>
    <row r="176" spans="1:8" ht="22" customHeight="1">
      <c r="A176" s="1">
        <f>IF(AND('Loan Inputs'!$B$12,170&lt;=IF('Loan Inputs'!$B$12,'Loan Inputs'!$B$7,0)*'Loan Inputs'!$B$14+5*'Loan Inputs'!$B$14,ISNUMBER(G175),G175&gt;0),170,"")</f>
        <v>170</v>
      </c>
      <c r="B176" s="4">
        <f>IF(A176="","",IF('Loan Inputs'!$B$14=12,DATE(YEAR('Loan Inputs'!$B$8),MONTH('Loan Inputs'!$B$8)+A176,DAY('Loan Inputs'!$B$8)),'Loan Inputs'!$B$8+A176*IF('Loan Inputs'!$B$14=26,14,7)))</f>
        <v>51502</v>
      </c>
      <c r="C176" s="2">
        <f t="shared" si="8"/>
        <v>417900.00965200504</v>
      </c>
      <c r="D176" s="2">
        <f>IF(A176="","",MIN('Loan Inputs'!$B$17,C176+E176)+H176)</f>
        <v>4311.533367807353</v>
      </c>
      <c r="E176" s="2">
        <f>IF(A176="","",C176*'Loan Inputs'!$B$15)</f>
        <v>2225.3175513969268</v>
      </c>
      <c r="F176" s="2">
        <f t="shared" si="6"/>
        <v>2086.2158164104262</v>
      </c>
      <c r="G176" s="2">
        <f t="shared" si="7"/>
        <v>415813.79383559461</v>
      </c>
      <c r="H176" s="2">
        <f>IF(A176="","",MIN('Loan Inputs'!$B$18,MAX(0,C176+E176-'Loan Inputs'!$B$17)))</f>
        <v>250</v>
      </c>
    </row>
    <row r="177" spans="1:8" ht="22" customHeight="1">
      <c r="A177" s="1">
        <f>IF(AND('Loan Inputs'!$B$12,171&lt;=IF('Loan Inputs'!$B$12,'Loan Inputs'!$B$7,0)*'Loan Inputs'!$B$14+5*'Loan Inputs'!$B$14,ISNUMBER(G176),G176&gt;0),171,"")</f>
        <v>171</v>
      </c>
      <c r="B177" s="4">
        <f>IF(A177="","",IF('Loan Inputs'!$B$14=12,DATE(YEAR('Loan Inputs'!$B$8),MONTH('Loan Inputs'!$B$8)+A177,DAY('Loan Inputs'!$B$8)),'Loan Inputs'!$B$8+A177*IF('Loan Inputs'!$B$14=26,14,7)))</f>
        <v>51533</v>
      </c>
      <c r="C177" s="2">
        <f t="shared" si="8"/>
        <v>415813.79383559461</v>
      </c>
      <c r="D177" s="2">
        <f>IF(A177="","",MIN('Loan Inputs'!$B$17,C177+E177)+H177)</f>
        <v>4311.533367807353</v>
      </c>
      <c r="E177" s="2">
        <f>IF(A177="","",C177*'Loan Inputs'!$B$15)</f>
        <v>2214.2084521745414</v>
      </c>
      <c r="F177" s="2">
        <f t="shared" si="6"/>
        <v>2097.3249156328116</v>
      </c>
      <c r="G177" s="2">
        <f t="shared" si="7"/>
        <v>413716.46891996177</v>
      </c>
      <c r="H177" s="2">
        <f>IF(A177="","",MIN('Loan Inputs'!$B$18,MAX(0,C177+E177-'Loan Inputs'!$B$17)))</f>
        <v>250</v>
      </c>
    </row>
    <row r="178" spans="1:8" ht="22" customHeight="1">
      <c r="A178" s="1">
        <f>IF(AND('Loan Inputs'!$B$12,172&lt;=IF('Loan Inputs'!$B$12,'Loan Inputs'!$B$7,0)*'Loan Inputs'!$B$14+5*'Loan Inputs'!$B$14,ISNUMBER(G177),G177&gt;0),172,"")</f>
        <v>172</v>
      </c>
      <c r="B178" s="4">
        <f>IF(A178="","",IF('Loan Inputs'!$B$14=12,DATE(YEAR('Loan Inputs'!$B$8),MONTH('Loan Inputs'!$B$8)+A178,DAY('Loan Inputs'!$B$8)),'Loan Inputs'!$B$8+A178*IF('Loan Inputs'!$B$14=26,14,7)))</f>
        <v>51561</v>
      </c>
      <c r="C178" s="2">
        <f t="shared" si="8"/>
        <v>413716.46891996177</v>
      </c>
      <c r="D178" s="2">
        <f>IF(A178="","",MIN('Loan Inputs'!$B$17,C178+E178)+H178)</f>
        <v>4311.533367807353</v>
      </c>
      <c r="E178" s="2">
        <f>IF(A178="","",C178*'Loan Inputs'!$B$15)</f>
        <v>2203.0401969987965</v>
      </c>
      <c r="F178" s="2">
        <f t="shared" si="6"/>
        <v>2108.4931708085564</v>
      </c>
      <c r="G178" s="2">
        <f t="shared" si="7"/>
        <v>411607.97574915324</v>
      </c>
      <c r="H178" s="2">
        <f>IF(A178="","",MIN('Loan Inputs'!$B$18,MAX(0,C178+E178-'Loan Inputs'!$B$17)))</f>
        <v>250</v>
      </c>
    </row>
    <row r="179" spans="1:8" ht="22" customHeight="1">
      <c r="A179" s="1">
        <f>IF(AND('Loan Inputs'!$B$12,173&lt;=IF('Loan Inputs'!$B$12,'Loan Inputs'!$B$7,0)*'Loan Inputs'!$B$14+5*'Loan Inputs'!$B$14,ISNUMBER(G178),G178&gt;0),173,"")</f>
        <v>173</v>
      </c>
      <c r="B179" s="4">
        <f>IF(A179="","",IF('Loan Inputs'!$B$14=12,DATE(YEAR('Loan Inputs'!$B$8),MONTH('Loan Inputs'!$B$8)+A179,DAY('Loan Inputs'!$B$8)),'Loan Inputs'!$B$8+A179*IF('Loan Inputs'!$B$14=26,14,7)))</f>
        <v>51592</v>
      </c>
      <c r="C179" s="2">
        <f t="shared" si="8"/>
        <v>411607.97574915324</v>
      </c>
      <c r="D179" s="2">
        <f>IF(A179="","",MIN('Loan Inputs'!$B$17,C179+E179)+H179)</f>
        <v>4311.533367807353</v>
      </c>
      <c r="E179" s="2">
        <f>IF(A179="","",C179*'Loan Inputs'!$B$15)</f>
        <v>2191.8124708642408</v>
      </c>
      <c r="F179" s="2">
        <f t="shared" si="6"/>
        <v>2119.7208969431122</v>
      </c>
      <c r="G179" s="2">
        <f t="shared" si="7"/>
        <v>409488.25485221011</v>
      </c>
      <c r="H179" s="2">
        <f>IF(A179="","",MIN('Loan Inputs'!$B$18,MAX(0,C179+E179-'Loan Inputs'!$B$17)))</f>
        <v>250</v>
      </c>
    </row>
    <row r="180" spans="1:8" ht="22" customHeight="1">
      <c r="A180" s="1">
        <f>IF(AND('Loan Inputs'!$B$12,174&lt;=IF('Loan Inputs'!$B$12,'Loan Inputs'!$B$7,0)*'Loan Inputs'!$B$14+5*'Loan Inputs'!$B$14,ISNUMBER(G179),G179&gt;0),174,"")</f>
        <v>174</v>
      </c>
      <c r="B180" s="4">
        <f>IF(A180="","",IF('Loan Inputs'!$B$14=12,DATE(YEAR('Loan Inputs'!$B$8),MONTH('Loan Inputs'!$B$8)+A180,DAY('Loan Inputs'!$B$8)),'Loan Inputs'!$B$8+A180*IF('Loan Inputs'!$B$14=26,14,7)))</f>
        <v>51622</v>
      </c>
      <c r="C180" s="2">
        <f t="shared" si="8"/>
        <v>409488.25485221011</v>
      </c>
      <c r="D180" s="2">
        <f>IF(A180="","",MIN('Loan Inputs'!$B$17,C180+E180)+H180)</f>
        <v>4311.533367807353</v>
      </c>
      <c r="E180" s="2">
        <f>IF(A180="","",C180*'Loan Inputs'!$B$15)</f>
        <v>2180.5249570880187</v>
      </c>
      <c r="F180" s="2">
        <f t="shared" si="6"/>
        <v>2131.0084107193343</v>
      </c>
      <c r="G180" s="2">
        <f t="shared" si="7"/>
        <v>407357.24644149077</v>
      </c>
      <c r="H180" s="2">
        <f>IF(A180="","",MIN('Loan Inputs'!$B$18,MAX(0,C180+E180-'Loan Inputs'!$B$17)))</f>
        <v>250</v>
      </c>
    </row>
    <row r="181" spans="1:8" ht="22" customHeight="1">
      <c r="A181" s="1">
        <f>IF(AND('Loan Inputs'!$B$12,175&lt;=IF('Loan Inputs'!$B$12,'Loan Inputs'!$B$7,0)*'Loan Inputs'!$B$14+5*'Loan Inputs'!$B$14,ISNUMBER(G180),G180&gt;0),175,"")</f>
        <v>175</v>
      </c>
      <c r="B181" s="4">
        <f>IF(A181="","",IF('Loan Inputs'!$B$14=12,DATE(YEAR('Loan Inputs'!$B$8),MONTH('Loan Inputs'!$B$8)+A181,DAY('Loan Inputs'!$B$8)),'Loan Inputs'!$B$8+A181*IF('Loan Inputs'!$B$14=26,14,7)))</f>
        <v>51653</v>
      </c>
      <c r="C181" s="2">
        <f t="shared" si="8"/>
        <v>407357.24644149077</v>
      </c>
      <c r="D181" s="2">
        <f>IF(A181="","",MIN('Loan Inputs'!$B$17,C181+E181)+H181)</f>
        <v>4311.533367807353</v>
      </c>
      <c r="E181" s="2">
        <f>IF(A181="","",C181*'Loan Inputs'!$B$15)</f>
        <v>2169.1773373009382</v>
      </c>
      <c r="F181" s="2">
        <f t="shared" si="6"/>
        <v>2142.3560305064148</v>
      </c>
      <c r="G181" s="2">
        <f t="shared" si="7"/>
        <v>405214.89041098434</v>
      </c>
      <c r="H181" s="2">
        <f>IF(A181="","",MIN('Loan Inputs'!$B$18,MAX(0,C181+E181-'Loan Inputs'!$B$17)))</f>
        <v>250</v>
      </c>
    </row>
    <row r="182" spans="1:8" ht="22" customHeight="1">
      <c r="A182" s="1">
        <f>IF(AND('Loan Inputs'!$B$12,176&lt;=IF('Loan Inputs'!$B$12,'Loan Inputs'!$B$7,0)*'Loan Inputs'!$B$14+5*'Loan Inputs'!$B$14,ISNUMBER(G181),G181&gt;0),176,"")</f>
        <v>176</v>
      </c>
      <c r="B182" s="4">
        <f>IF(A182="","",IF('Loan Inputs'!$B$14=12,DATE(YEAR('Loan Inputs'!$B$8),MONTH('Loan Inputs'!$B$8)+A182,DAY('Loan Inputs'!$B$8)),'Loan Inputs'!$B$8+A182*IF('Loan Inputs'!$B$14=26,14,7)))</f>
        <v>51683</v>
      </c>
      <c r="C182" s="2">
        <f t="shared" si="8"/>
        <v>405214.89041098434</v>
      </c>
      <c r="D182" s="2">
        <f>IF(A182="","",MIN('Loan Inputs'!$B$17,C182+E182)+H182)</f>
        <v>4311.533367807353</v>
      </c>
      <c r="E182" s="2">
        <f>IF(A182="","",C182*'Loan Inputs'!$B$15)</f>
        <v>2157.7692914384916</v>
      </c>
      <c r="F182" s="2">
        <f t="shared" si="6"/>
        <v>2153.7640763688614</v>
      </c>
      <c r="G182" s="2">
        <f t="shared" si="7"/>
        <v>403061.12633461546</v>
      </c>
      <c r="H182" s="2">
        <f>IF(A182="","",MIN('Loan Inputs'!$B$18,MAX(0,C182+E182-'Loan Inputs'!$B$17)))</f>
        <v>250</v>
      </c>
    </row>
    <row r="183" spans="1:8" ht="22" customHeight="1">
      <c r="A183" s="1">
        <f>IF(AND('Loan Inputs'!$B$12,177&lt;=IF('Loan Inputs'!$B$12,'Loan Inputs'!$B$7,0)*'Loan Inputs'!$B$14+5*'Loan Inputs'!$B$14,ISNUMBER(G182),G182&gt;0),177,"")</f>
        <v>177</v>
      </c>
      <c r="B183" s="4">
        <f>IF(A183="","",IF('Loan Inputs'!$B$14=12,DATE(YEAR('Loan Inputs'!$B$8),MONTH('Loan Inputs'!$B$8)+A183,DAY('Loan Inputs'!$B$8)),'Loan Inputs'!$B$8+A183*IF('Loan Inputs'!$B$14=26,14,7)))</f>
        <v>51714</v>
      </c>
      <c r="C183" s="2">
        <f t="shared" si="8"/>
        <v>403061.12633461546</v>
      </c>
      <c r="D183" s="2">
        <f>IF(A183="","",MIN('Loan Inputs'!$B$17,C183+E183)+H183)</f>
        <v>4311.533367807353</v>
      </c>
      <c r="E183" s="2">
        <f>IF(A183="","",C183*'Loan Inputs'!$B$15)</f>
        <v>2146.3004977318274</v>
      </c>
      <c r="F183" s="2">
        <f t="shared" si="6"/>
        <v>2165.2328700755256</v>
      </c>
      <c r="G183" s="2">
        <f t="shared" si="7"/>
        <v>400895.89346453996</v>
      </c>
      <c r="H183" s="2">
        <f>IF(A183="","",MIN('Loan Inputs'!$B$18,MAX(0,C183+E183-'Loan Inputs'!$B$17)))</f>
        <v>250</v>
      </c>
    </row>
    <row r="184" spans="1:8" ht="22" customHeight="1">
      <c r="A184" s="1">
        <f>IF(AND('Loan Inputs'!$B$12,178&lt;=IF('Loan Inputs'!$B$12,'Loan Inputs'!$B$7,0)*'Loan Inputs'!$B$14+5*'Loan Inputs'!$B$14,ISNUMBER(G183),G183&gt;0),178,"")</f>
        <v>178</v>
      </c>
      <c r="B184" s="4">
        <f>IF(A184="","",IF('Loan Inputs'!$B$14=12,DATE(YEAR('Loan Inputs'!$B$8),MONTH('Loan Inputs'!$B$8)+A184,DAY('Loan Inputs'!$B$8)),'Loan Inputs'!$B$8+A184*IF('Loan Inputs'!$B$14=26,14,7)))</f>
        <v>51745</v>
      </c>
      <c r="C184" s="2">
        <f t="shared" si="8"/>
        <v>400895.89346453996</v>
      </c>
      <c r="D184" s="2">
        <f>IF(A184="","",MIN('Loan Inputs'!$B$17,C184+E184)+H184)</f>
        <v>4311.533367807353</v>
      </c>
      <c r="E184" s="2">
        <f>IF(A184="","",C184*'Loan Inputs'!$B$15)</f>
        <v>2134.7706326986754</v>
      </c>
      <c r="F184" s="2">
        <f t="shared" si="6"/>
        <v>2176.7627351086776</v>
      </c>
      <c r="G184" s="2">
        <f t="shared" si="7"/>
        <v>398719.13072943129</v>
      </c>
      <c r="H184" s="2">
        <f>IF(A184="","",MIN('Loan Inputs'!$B$18,MAX(0,C184+E184-'Loan Inputs'!$B$17)))</f>
        <v>250</v>
      </c>
    </row>
    <row r="185" spans="1:8" ht="22" customHeight="1">
      <c r="A185" s="1">
        <f>IF(AND('Loan Inputs'!$B$12,179&lt;=IF('Loan Inputs'!$B$12,'Loan Inputs'!$B$7,0)*'Loan Inputs'!$B$14+5*'Loan Inputs'!$B$14,ISNUMBER(G184),G184&gt;0),179,"")</f>
        <v>179</v>
      </c>
      <c r="B185" s="4">
        <f>IF(A185="","",IF('Loan Inputs'!$B$14=12,DATE(YEAR('Loan Inputs'!$B$8),MONTH('Loan Inputs'!$B$8)+A185,DAY('Loan Inputs'!$B$8)),'Loan Inputs'!$B$8+A185*IF('Loan Inputs'!$B$14=26,14,7)))</f>
        <v>51775</v>
      </c>
      <c r="C185" s="2">
        <f t="shared" si="8"/>
        <v>398719.13072943129</v>
      </c>
      <c r="D185" s="2">
        <f>IF(A185="","",MIN('Loan Inputs'!$B$17,C185+E185)+H185)</f>
        <v>4311.533367807353</v>
      </c>
      <c r="E185" s="2">
        <f>IF(A185="","",C185*'Loan Inputs'!$B$15)</f>
        <v>2123.1793711342216</v>
      </c>
      <c r="F185" s="2">
        <f t="shared" si="6"/>
        <v>2188.3539966731314</v>
      </c>
      <c r="G185" s="2">
        <f t="shared" si="7"/>
        <v>396530.77673275815</v>
      </c>
      <c r="H185" s="2">
        <f>IF(A185="","",MIN('Loan Inputs'!$B$18,MAX(0,C185+E185-'Loan Inputs'!$B$17)))</f>
        <v>250</v>
      </c>
    </row>
    <row r="186" spans="1:8" ht="22" customHeight="1">
      <c r="A186" s="1">
        <f>IF(AND('Loan Inputs'!$B$12,180&lt;=IF('Loan Inputs'!$B$12,'Loan Inputs'!$B$7,0)*'Loan Inputs'!$B$14+5*'Loan Inputs'!$B$14,ISNUMBER(G185),G185&gt;0),180,"")</f>
        <v>180</v>
      </c>
      <c r="B186" s="4">
        <f>IF(A186="","",IF('Loan Inputs'!$B$14=12,DATE(YEAR('Loan Inputs'!$B$8),MONTH('Loan Inputs'!$B$8)+A186,DAY('Loan Inputs'!$B$8)),'Loan Inputs'!$B$8+A186*IF('Loan Inputs'!$B$14=26,14,7)))</f>
        <v>51806</v>
      </c>
      <c r="C186" s="2">
        <f t="shared" si="8"/>
        <v>396530.77673275815</v>
      </c>
      <c r="D186" s="2">
        <f>IF(A186="","",MIN('Loan Inputs'!$B$17,C186+E186)+H186)</f>
        <v>4311.533367807353</v>
      </c>
      <c r="E186" s="2">
        <f>IF(A186="","",C186*'Loan Inputs'!$B$15)</f>
        <v>2111.5263861019371</v>
      </c>
      <c r="F186" s="2">
        <f t="shared" si="6"/>
        <v>2200.0069817054159</v>
      </c>
      <c r="G186" s="2">
        <f t="shared" si="7"/>
        <v>394330.76975105272</v>
      </c>
      <c r="H186" s="2">
        <f>IF(A186="","",MIN('Loan Inputs'!$B$18,MAX(0,C186+E186-'Loan Inputs'!$B$17)))</f>
        <v>250</v>
      </c>
    </row>
    <row r="187" spans="1:8" ht="22" customHeight="1">
      <c r="A187" s="1">
        <f>IF(AND('Loan Inputs'!$B$12,181&lt;=IF('Loan Inputs'!$B$12,'Loan Inputs'!$B$7,0)*'Loan Inputs'!$B$14+5*'Loan Inputs'!$B$14,ISNUMBER(G186),G186&gt;0),181,"")</f>
        <v>181</v>
      </c>
      <c r="B187" s="4">
        <f>IF(A187="","",IF('Loan Inputs'!$B$14=12,DATE(YEAR('Loan Inputs'!$B$8),MONTH('Loan Inputs'!$B$8)+A187,DAY('Loan Inputs'!$B$8)),'Loan Inputs'!$B$8+A187*IF('Loan Inputs'!$B$14=26,14,7)))</f>
        <v>51836</v>
      </c>
      <c r="C187" s="2">
        <f t="shared" si="8"/>
        <v>394330.76975105272</v>
      </c>
      <c r="D187" s="2">
        <f>IF(A187="","",MIN('Loan Inputs'!$B$17,C187+E187)+H187)</f>
        <v>4311.533367807353</v>
      </c>
      <c r="E187" s="2">
        <f>IF(A187="","",C187*'Loan Inputs'!$B$15)</f>
        <v>2099.8113489243556</v>
      </c>
      <c r="F187" s="2">
        <f t="shared" si="6"/>
        <v>2211.7220188829974</v>
      </c>
      <c r="G187" s="2">
        <f t="shared" si="7"/>
        <v>392119.04773216974</v>
      </c>
      <c r="H187" s="2">
        <f>IF(A187="","",MIN('Loan Inputs'!$B$18,MAX(0,C187+E187-'Loan Inputs'!$B$17)))</f>
        <v>250</v>
      </c>
    </row>
    <row r="188" spans="1:8" ht="22" customHeight="1">
      <c r="A188" s="1">
        <f>IF(AND('Loan Inputs'!$B$12,182&lt;=IF('Loan Inputs'!$B$12,'Loan Inputs'!$B$7,0)*'Loan Inputs'!$B$14+5*'Loan Inputs'!$B$14,ISNUMBER(G187),G187&gt;0),182,"")</f>
        <v>182</v>
      </c>
      <c r="B188" s="4">
        <f>IF(A188="","",IF('Loan Inputs'!$B$14=12,DATE(YEAR('Loan Inputs'!$B$8),MONTH('Loan Inputs'!$B$8)+A188,DAY('Loan Inputs'!$B$8)),'Loan Inputs'!$B$8+A188*IF('Loan Inputs'!$B$14=26,14,7)))</f>
        <v>51867</v>
      </c>
      <c r="C188" s="2">
        <f t="shared" si="8"/>
        <v>392119.04773216974</v>
      </c>
      <c r="D188" s="2">
        <f>IF(A188="","",MIN('Loan Inputs'!$B$17,C188+E188)+H188)</f>
        <v>4311.533367807353</v>
      </c>
      <c r="E188" s="2">
        <f>IF(A188="","",C188*'Loan Inputs'!$B$15)</f>
        <v>2088.0339291738037</v>
      </c>
      <c r="F188" s="2">
        <f t="shared" si="6"/>
        <v>2223.4994386335493</v>
      </c>
      <c r="G188" s="2">
        <f t="shared" si="7"/>
        <v>389895.54829353618</v>
      </c>
      <c r="H188" s="2">
        <f>IF(A188="","",MIN('Loan Inputs'!$B$18,MAX(0,C188+E188-'Loan Inputs'!$B$17)))</f>
        <v>250</v>
      </c>
    </row>
    <row r="189" spans="1:8" ht="22" customHeight="1">
      <c r="A189" s="1">
        <f>IF(AND('Loan Inputs'!$B$12,183&lt;=IF('Loan Inputs'!$B$12,'Loan Inputs'!$B$7,0)*'Loan Inputs'!$B$14+5*'Loan Inputs'!$B$14,ISNUMBER(G188),G188&gt;0),183,"")</f>
        <v>183</v>
      </c>
      <c r="B189" s="4">
        <f>IF(A189="","",IF('Loan Inputs'!$B$14=12,DATE(YEAR('Loan Inputs'!$B$8),MONTH('Loan Inputs'!$B$8)+A189,DAY('Loan Inputs'!$B$8)),'Loan Inputs'!$B$8+A189*IF('Loan Inputs'!$B$14=26,14,7)))</f>
        <v>51898</v>
      </c>
      <c r="C189" s="2">
        <f t="shared" si="8"/>
        <v>389895.54829353618</v>
      </c>
      <c r="D189" s="2">
        <f>IF(A189="","",MIN('Loan Inputs'!$B$17,C189+E189)+H189)</f>
        <v>4311.533367807353</v>
      </c>
      <c r="E189" s="2">
        <f>IF(A189="","",C189*'Loan Inputs'!$B$15)</f>
        <v>2076.1937946630801</v>
      </c>
      <c r="F189" s="2">
        <f t="shared" si="6"/>
        <v>2235.3395731442729</v>
      </c>
      <c r="G189" s="2">
        <f t="shared" si="7"/>
        <v>387660.20872039191</v>
      </c>
      <c r="H189" s="2">
        <f>IF(A189="","",MIN('Loan Inputs'!$B$18,MAX(0,C189+E189-'Loan Inputs'!$B$17)))</f>
        <v>250</v>
      </c>
    </row>
    <row r="190" spans="1:8" ht="22" customHeight="1">
      <c r="A190" s="1">
        <f>IF(AND('Loan Inputs'!$B$12,184&lt;=IF('Loan Inputs'!$B$12,'Loan Inputs'!$B$7,0)*'Loan Inputs'!$B$14+5*'Loan Inputs'!$B$14,ISNUMBER(G189),G189&gt;0),184,"")</f>
        <v>184</v>
      </c>
      <c r="B190" s="4">
        <f>IF(A190="","",IF('Loan Inputs'!$B$14=12,DATE(YEAR('Loan Inputs'!$B$8),MONTH('Loan Inputs'!$B$8)+A190,DAY('Loan Inputs'!$B$8)),'Loan Inputs'!$B$8+A190*IF('Loan Inputs'!$B$14=26,14,7)))</f>
        <v>51926</v>
      </c>
      <c r="C190" s="2">
        <f t="shared" si="8"/>
        <v>387660.20872039191</v>
      </c>
      <c r="D190" s="2">
        <f>IF(A190="","",MIN('Loan Inputs'!$B$17,C190+E190)+H190)</f>
        <v>4311.533367807353</v>
      </c>
      <c r="E190" s="2">
        <f>IF(A190="","",C190*'Loan Inputs'!$B$15)</f>
        <v>2064.2906114360867</v>
      </c>
      <c r="F190" s="2">
        <f t="shared" si="6"/>
        <v>2247.2427563712663</v>
      </c>
      <c r="G190" s="2">
        <f t="shared" si="7"/>
        <v>385412.96596402064</v>
      </c>
      <c r="H190" s="2">
        <f>IF(A190="","",MIN('Loan Inputs'!$B$18,MAX(0,C190+E190-'Loan Inputs'!$B$17)))</f>
        <v>250</v>
      </c>
    </row>
    <row r="191" spans="1:8" ht="22" customHeight="1">
      <c r="A191" s="1">
        <f>IF(AND('Loan Inputs'!$B$12,185&lt;=IF('Loan Inputs'!$B$12,'Loan Inputs'!$B$7,0)*'Loan Inputs'!$B$14+5*'Loan Inputs'!$B$14,ISNUMBER(G190),G190&gt;0),185,"")</f>
        <v>185</v>
      </c>
      <c r="B191" s="4">
        <f>IF(A191="","",IF('Loan Inputs'!$B$14=12,DATE(YEAR('Loan Inputs'!$B$8),MONTH('Loan Inputs'!$B$8)+A191,DAY('Loan Inputs'!$B$8)),'Loan Inputs'!$B$8+A191*IF('Loan Inputs'!$B$14=26,14,7)))</f>
        <v>51957</v>
      </c>
      <c r="C191" s="2">
        <f t="shared" si="8"/>
        <v>385412.96596402064</v>
      </c>
      <c r="D191" s="2">
        <f>IF(A191="","",MIN('Loan Inputs'!$B$17,C191+E191)+H191)</f>
        <v>4311.533367807353</v>
      </c>
      <c r="E191" s="2">
        <f>IF(A191="","",C191*'Loan Inputs'!$B$15)</f>
        <v>2052.32404375841</v>
      </c>
      <c r="F191" s="2">
        <f t="shared" si="6"/>
        <v>2259.209324048943</v>
      </c>
      <c r="G191" s="2">
        <f t="shared" si="7"/>
        <v>383153.75663997169</v>
      </c>
      <c r="H191" s="2">
        <f>IF(A191="","",MIN('Loan Inputs'!$B$18,MAX(0,C191+E191-'Loan Inputs'!$B$17)))</f>
        <v>250</v>
      </c>
    </row>
    <row r="192" spans="1:8" ht="22" customHeight="1">
      <c r="A192" s="1">
        <f>IF(AND('Loan Inputs'!$B$12,186&lt;=IF('Loan Inputs'!$B$12,'Loan Inputs'!$B$7,0)*'Loan Inputs'!$B$14+5*'Loan Inputs'!$B$14,ISNUMBER(G191),G191&gt;0),186,"")</f>
        <v>186</v>
      </c>
      <c r="B192" s="4">
        <f>IF(A192="","",IF('Loan Inputs'!$B$14=12,DATE(YEAR('Loan Inputs'!$B$8),MONTH('Loan Inputs'!$B$8)+A192,DAY('Loan Inputs'!$B$8)),'Loan Inputs'!$B$8+A192*IF('Loan Inputs'!$B$14=26,14,7)))</f>
        <v>51987</v>
      </c>
      <c r="C192" s="2">
        <f t="shared" si="8"/>
        <v>383153.75663997169</v>
      </c>
      <c r="D192" s="2">
        <f>IF(A192="","",MIN('Loan Inputs'!$B$17,C192+E192)+H192)</f>
        <v>4311.533367807353</v>
      </c>
      <c r="E192" s="2">
        <f>IF(A192="","",C192*'Loan Inputs'!$B$15)</f>
        <v>2040.2937541078493</v>
      </c>
      <c r="F192" s="2">
        <f t="shared" si="6"/>
        <v>2271.2396136995039</v>
      </c>
      <c r="G192" s="2">
        <f t="shared" si="7"/>
        <v>380882.51702627219</v>
      </c>
      <c r="H192" s="2">
        <f>IF(A192="","",MIN('Loan Inputs'!$B$18,MAX(0,C192+E192-'Loan Inputs'!$B$17)))</f>
        <v>250</v>
      </c>
    </row>
    <row r="193" spans="1:8" ht="22" customHeight="1">
      <c r="A193" s="1">
        <f>IF(AND('Loan Inputs'!$B$12,187&lt;=IF('Loan Inputs'!$B$12,'Loan Inputs'!$B$7,0)*'Loan Inputs'!$B$14+5*'Loan Inputs'!$B$14,ISNUMBER(G192),G192&gt;0),187,"")</f>
        <v>187</v>
      </c>
      <c r="B193" s="4">
        <f>IF(A193="","",IF('Loan Inputs'!$B$14=12,DATE(YEAR('Loan Inputs'!$B$8),MONTH('Loan Inputs'!$B$8)+A193,DAY('Loan Inputs'!$B$8)),'Loan Inputs'!$B$8+A193*IF('Loan Inputs'!$B$14=26,14,7)))</f>
        <v>52018</v>
      </c>
      <c r="C193" s="2">
        <f t="shared" si="8"/>
        <v>380882.51702627219</v>
      </c>
      <c r="D193" s="2">
        <f>IF(A193="","",MIN('Loan Inputs'!$B$17,C193+E193)+H193)</f>
        <v>4311.533367807353</v>
      </c>
      <c r="E193" s="2">
        <f>IF(A193="","",C193*'Loan Inputs'!$B$15)</f>
        <v>2028.1994031648994</v>
      </c>
      <c r="F193" s="2">
        <f t="shared" si="6"/>
        <v>2283.3339646424538</v>
      </c>
      <c r="G193" s="2">
        <f t="shared" si="7"/>
        <v>378599.18306162977</v>
      </c>
      <c r="H193" s="2">
        <f>IF(A193="","",MIN('Loan Inputs'!$B$18,MAX(0,C193+E193-'Loan Inputs'!$B$17)))</f>
        <v>250</v>
      </c>
    </row>
    <row r="194" spans="1:8" ht="22" customHeight="1">
      <c r="A194" s="1">
        <f>IF(AND('Loan Inputs'!$B$12,188&lt;=IF('Loan Inputs'!$B$12,'Loan Inputs'!$B$7,0)*'Loan Inputs'!$B$14+5*'Loan Inputs'!$B$14,ISNUMBER(G193),G193&gt;0),188,"")</f>
        <v>188</v>
      </c>
      <c r="B194" s="4">
        <f>IF(A194="","",IF('Loan Inputs'!$B$14=12,DATE(YEAR('Loan Inputs'!$B$8),MONTH('Loan Inputs'!$B$8)+A194,DAY('Loan Inputs'!$B$8)),'Loan Inputs'!$B$8+A194*IF('Loan Inputs'!$B$14=26,14,7)))</f>
        <v>52048</v>
      </c>
      <c r="C194" s="2">
        <f t="shared" si="8"/>
        <v>378599.18306162977</v>
      </c>
      <c r="D194" s="2">
        <f>IF(A194="","",MIN('Loan Inputs'!$B$17,C194+E194)+H194)</f>
        <v>4311.533367807353</v>
      </c>
      <c r="E194" s="2">
        <f>IF(A194="","",C194*'Loan Inputs'!$B$15)</f>
        <v>2016.0406498031784</v>
      </c>
      <c r="F194" s="2">
        <f t="shared" si="6"/>
        <v>2295.4927180041745</v>
      </c>
      <c r="G194" s="2">
        <f t="shared" si="7"/>
        <v>376303.69034362561</v>
      </c>
      <c r="H194" s="2">
        <f>IF(A194="","",MIN('Loan Inputs'!$B$18,MAX(0,C194+E194-'Loan Inputs'!$B$17)))</f>
        <v>250</v>
      </c>
    </row>
    <row r="195" spans="1:8" ht="22" customHeight="1">
      <c r="A195" s="1">
        <f>IF(AND('Loan Inputs'!$B$12,189&lt;=IF('Loan Inputs'!$B$12,'Loan Inputs'!$B$7,0)*'Loan Inputs'!$B$14+5*'Loan Inputs'!$B$14,ISNUMBER(G194),G194&gt;0),189,"")</f>
        <v>189</v>
      </c>
      <c r="B195" s="4">
        <f>IF(A195="","",IF('Loan Inputs'!$B$14=12,DATE(YEAR('Loan Inputs'!$B$8),MONTH('Loan Inputs'!$B$8)+A195,DAY('Loan Inputs'!$B$8)),'Loan Inputs'!$B$8+A195*IF('Loan Inputs'!$B$14=26,14,7)))</f>
        <v>52079</v>
      </c>
      <c r="C195" s="2">
        <f t="shared" si="8"/>
        <v>376303.69034362561</v>
      </c>
      <c r="D195" s="2">
        <f>IF(A195="","",MIN('Loan Inputs'!$B$17,C195+E195)+H195)</f>
        <v>4311.533367807353</v>
      </c>
      <c r="E195" s="2">
        <f>IF(A195="","",C195*'Loan Inputs'!$B$15)</f>
        <v>2003.8171510798063</v>
      </c>
      <c r="F195" s="2">
        <f t="shared" si="6"/>
        <v>2307.7162167275465</v>
      </c>
      <c r="G195" s="2">
        <f t="shared" si="7"/>
        <v>373995.97412689804</v>
      </c>
      <c r="H195" s="2">
        <f>IF(A195="","",MIN('Loan Inputs'!$B$18,MAX(0,C195+E195-'Loan Inputs'!$B$17)))</f>
        <v>250</v>
      </c>
    </row>
    <row r="196" spans="1:8" ht="22" customHeight="1">
      <c r="A196" s="1">
        <f>IF(AND('Loan Inputs'!$B$12,190&lt;=IF('Loan Inputs'!$B$12,'Loan Inputs'!$B$7,0)*'Loan Inputs'!$B$14+5*'Loan Inputs'!$B$14,ISNUMBER(G195),G195&gt;0),190,"")</f>
        <v>190</v>
      </c>
      <c r="B196" s="4">
        <f>IF(A196="","",IF('Loan Inputs'!$B$14=12,DATE(YEAR('Loan Inputs'!$B$8),MONTH('Loan Inputs'!$B$8)+A196,DAY('Loan Inputs'!$B$8)),'Loan Inputs'!$B$8+A196*IF('Loan Inputs'!$B$14=26,14,7)))</f>
        <v>52110</v>
      </c>
      <c r="C196" s="2">
        <f t="shared" si="8"/>
        <v>373995.97412689804</v>
      </c>
      <c r="D196" s="2">
        <f>IF(A196="","",MIN('Loan Inputs'!$B$17,C196+E196)+H196)</f>
        <v>4311.533367807353</v>
      </c>
      <c r="E196" s="2">
        <f>IF(A196="","",C196*'Loan Inputs'!$B$15)</f>
        <v>1991.528562225732</v>
      </c>
      <c r="F196" s="2">
        <f t="shared" si="6"/>
        <v>2320.004805581621</v>
      </c>
      <c r="G196" s="2">
        <f t="shared" si="7"/>
        <v>371675.9693213164</v>
      </c>
      <c r="H196" s="2">
        <f>IF(A196="","",MIN('Loan Inputs'!$B$18,MAX(0,C196+E196-'Loan Inputs'!$B$17)))</f>
        <v>250</v>
      </c>
    </row>
    <row r="197" spans="1:8" ht="22" customHeight="1">
      <c r="A197" s="1">
        <f>IF(AND('Loan Inputs'!$B$12,191&lt;=IF('Loan Inputs'!$B$12,'Loan Inputs'!$B$7,0)*'Loan Inputs'!$B$14+5*'Loan Inputs'!$B$14,ISNUMBER(G196),G196&gt;0),191,"")</f>
        <v>191</v>
      </c>
      <c r="B197" s="4">
        <f>IF(A197="","",IF('Loan Inputs'!$B$14=12,DATE(YEAR('Loan Inputs'!$B$8),MONTH('Loan Inputs'!$B$8)+A197,DAY('Loan Inputs'!$B$8)),'Loan Inputs'!$B$8+A197*IF('Loan Inputs'!$B$14=26,14,7)))</f>
        <v>52140</v>
      </c>
      <c r="C197" s="2">
        <f t="shared" si="8"/>
        <v>371675.9693213164</v>
      </c>
      <c r="D197" s="2">
        <f>IF(A197="","",MIN('Loan Inputs'!$B$17,C197+E197)+H197)</f>
        <v>4311.533367807353</v>
      </c>
      <c r="E197" s="2">
        <f>IF(A197="","",C197*'Loan Inputs'!$B$15)</f>
        <v>1979.1745366360099</v>
      </c>
      <c r="F197" s="2">
        <f t="shared" si="6"/>
        <v>2332.3588311713429</v>
      </c>
      <c r="G197" s="2">
        <f t="shared" si="7"/>
        <v>369343.61049014505</v>
      </c>
      <c r="H197" s="2">
        <f>IF(A197="","",MIN('Loan Inputs'!$B$18,MAX(0,C197+E197-'Loan Inputs'!$B$17)))</f>
        <v>250</v>
      </c>
    </row>
    <row r="198" spans="1:8" ht="22" customHeight="1">
      <c r="A198" s="1">
        <f>IF(AND('Loan Inputs'!$B$12,192&lt;=IF('Loan Inputs'!$B$12,'Loan Inputs'!$B$7,0)*'Loan Inputs'!$B$14+5*'Loan Inputs'!$B$14,ISNUMBER(G197),G197&gt;0),192,"")</f>
        <v>192</v>
      </c>
      <c r="B198" s="4">
        <f>IF(A198="","",IF('Loan Inputs'!$B$14=12,DATE(YEAR('Loan Inputs'!$B$8),MONTH('Loan Inputs'!$B$8)+A198,DAY('Loan Inputs'!$B$8)),'Loan Inputs'!$B$8+A198*IF('Loan Inputs'!$B$14=26,14,7)))</f>
        <v>52171</v>
      </c>
      <c r="C198" s="2">
        <f t="shared" si="8"/>
        <v>369343.61049014505</v>
      </c>
      <c r="D198" s="2">
        <f>IF(A198="","",MIN('Loan Inputs'!$B$17,C198+E198)+H198)</f>
        <v>4311.533367807353</v>
      </c>
      <c r="E198" s="2">
        <f>IF(A198="","",C198*'Loan Inputs'!$B$15)</f>
        <v>1966.7547258600223</v>
      </c>
      <c r="F198" s="2">
        <f t="shared" si="6"/>
        <v>2344.7786419473305</v>
      </c>
      <c r="G198" s="2">
        <f t="shared" si="7"/>
        <v>366998.83184819773</v>
      </c>
      <c r="H198" s="2">
        <f>IF(A198="","",MIN('Loan Inputs'!$B$18,MAX(0,C198+E198-'Loan Inputs'!$B$17)))</f>
        <v>250</v>
      </c>
    </row>
    <row r="199" spans="1:8" ht="22" customHeight="1">
      <c r="A199" s="1">
        <f>IF(AND('Loan Inputs'!$B$12,193&lt;=IF('Loan Inputs'!$B$12,'Loan Inputs'!$B$7,0)*'Loan Inputs'!$B$14+5*'Loan Inputs'!$B$14,ISNUMBER(G198),G198&gt;0),193,"")</f>
        <v>193</v>
      </c>
      <c r="B199" s="4">
        <f>IF(A199="","",IF('Loan Inputs'!$B$14=12,DATE(YEAR('Loan Inputs'!$B$8),MONTH('Loan Inputs'!$B$8)+A199,DAY('Loan Inputs'!$B$8)),'Loan Inputs'!$B$8+A199*IF('Loan Inputs'!$B$14=26,14,7)))</f>
        <v>52201</v>
      </c>
      <c r="C199" s="2">
        <f t="shared" si="8"/>
        <v>366998.83184819773</v>
      </c>
      <c r="D199" s="2">
        <f>IF(A199="","",MIN('Loan Inputs'!$B$17,C199+E199)+H199)</f>
        <v>4311.533367807353</v>
      </c>
      <c r="E199" s="2">
        <f>IF(A199="","",C199*'Loan Inputs'!$B$15)</f>
        <v>1954.2687795916529</v>
      </c>
      <c r="F199" s="2">
        <f t="shared" ref="F199:F262" si="9">IF(A199="","",MIN(C199,D199-E199))</f>
        <v>2357.2645882157003</v>
      </c>
      <c r="G199" s="2">
        <f t="shared" ref="G199:G262" si="10">IF(A199="","",IF(C199-F199&lt;0.0000001,0,MAX(0,C199-F199)))</f>
        <v>364641.56725998205</v>
      </c>
      <c r="H199" s="2">
        <f>IF(A199="","",MIN('Loan Inputs'!$B$18,MAX(0,C199+E199-'Loan Inputs'!$B$17)))</f>
        <v>250</v>
      </c>
    </row>
    <row r="200" spans="1:8" ht="22" customHeight="1">
      <c r="A200" s="1">
        <f>IF(AND('Loan Inputs'!$B$12,194&lt;=IF('Loan Inputs'!$B$12,'Loan Inputs'!$B$7,0)*'Loan Inputs'!$B$14+5*'Loan Inputs'!$B$14,ISNUMBER(G199),G199&gt;0),194,"")</f>
        <v>194</v>
      </c>
      <c r="B200" s="4">
        <f>IF(A200="","",IF('Loan Inputs'!$B$14=12,DATE(YEAR('Loan Inputs'!$B$8),MONTH('Loan Inputs'!$B$8)+A200,DAY('Loan Inputs'!$B$8)),'Loan Inputs'!$B$8+A200*IF('Loan Inputs'!$B$14=26,14,7)))</f>
        <v>52232</v>
      </c>
      <c r="C200" s="2">
        <f t="shared" ref="C200:C263" si="11">IF(A200="","",G199)</f>
        <v>364641.56725998205</v>
      </c>
      <c r="D200" s="2">
        <f>IF(A200="","",MIN('Loan Inputs'!$B$17,C200+E200)+H200)</f>
        <v>4311.533367807353</v>
      </c>
      <c r="E200" s="2">
        <f>IF(A200="","",C200*'Loan Inputs'!$B$15)</f>
        <v>1941.7163456594044</v>
      </c>
      <c r="F200" s="2">
        <f t="shared" si="9"/>
        <v>2369.8170221479486</v>
      </c>
      <c r="G200" s="2">
        <f t="shared" si="10"/>
        <v>362271.75023783412</v>
      </c>
      <c r="H200" s="2">
        <f>IF(A200="","",MIN('Loan Inputs'!$B$18,MAX(0,C200+E200-'Loan Inputs'!$B$17)))</f>
        <v>250</v>
      </c>
    </row>
    <row r="201" spans="1:8" ht="22" customHeight="1">
      <c r="A201" s="1">
        <f>IF(AND('Loan Inputs'!$B$12,195&lt;=IF('Loan Inputs'!$B$12,'Loan Inputs'!$B$7,0)*'Loan Inputs'!$B$14+5*'Loan Inputs'!$B$14,ISNUMBER(G200),G200&gt;0),195,"")</f>
        <v>195</v>
      </c>
      <c r="B201" s="4">
        <f>IF(A201="","",IF('Loan Inputs'!$B$14=12,DATE(YEAR('Loan Inputs'!$B$8),MONTH('Loan Inputs'!$B$8)+A201,DAY('Loan Inputs'!$B$8)),'Loan Inputs'!$B$8+A201*IF('Loan Inputs'!$B$14=26,14,7)))</f>
        <v>52263</v>
      </c>
      <c r="C201" s="2">
        <f t="shared" si="11"/>
        <v>362271.75023783412</v>
      </c>
      <c r="D201" s="2">
        <f>IF(A201="","",MIN('Loan Inputs'!$B$17,C201+E201)+H201)</f>
        <v>4311.533367807353</v>
      </c>
      <c r="E201" s="2">
        <f>IF(A201="","",C201*'Loan Inputs'!$B$15)</f>
        <v>1929.0970700164667</v>
      </c>
      <c r="F201" s="2">
        <f t="shared" si="9"/>
        <v>2382.4362977908863</v>
      </c>
      <c r="G201" s="2">
        <f t="shared" si="10"/>
        <v>359889.31394004321</v>
      </c>
      <c r="H201" s="2">
        <f>IF(A201="","",MIN('Loan Inputs'!$B$18,MAX(0,C201+E201-'Loan Inputs'!$B$17)))</f>
        <v>250</v>
      </c>
    </row>
    <row r="202" spans="1:8" ht="22" customHeight="1">
      <c r="A202" s="1">
        <f>IF(AND('Loan Inputs'!$B$12,196&lt;=IF('Loan Inputs'!$B$12,'Loan Inputs'!$B$7,0)*'Loan Inputs'!$B$14+5*'Loan Inputs'!$B$14,ISNUMBER(G201),G201&gt;0),196,"")</f>
        <v>196</v>
      </c>
      <c r="B202" s="4">
        <f>IF(A202="","",IF('Loan Inputs'!$B$14=12,DATE(YEAR('Loan Inputs'!$B$8),MONTH('Loan Inputs'!$B$8)+A202,DAY('Loan Inputs'!$B$8)),'Loan Inputs'!$B$8+A202*IF('Loan Inputs'!$B$14=26,14,7)))</f>
        <v>52291</v>
      </c>
      <c r="C202" s="2">
        <f t="shared" si="11"/>
        <v>359889.31394004321</v>
      </c>
      <c r="D202" s="2">
        <f>IF(A202="","",MIN('Loan Inputs'!$B$17,C202+E202)+H202)</f>
        <v>4311.533367807353</v>
      </c>
      <c r="E202" s="2">
        <f>IF(A202="","",C202*'Loan Inputs'!$B$15)</f>
        <v>1916.41059673073</v>
      </c>
      <c r="F202" s="2">
        <f t="shared" si="9"/>
        <v>2395.1227710766229</v>
      </c>
      <c r="G202" s="2">
        <f t="shared" si="10"/>
        <v>357494.19116896659</v>
      </c>
      <c r="H202" s="2">
        <f>IF(A202="","",MIN('Loan Inputs'!$B$18,MAX(0,C202+E202-'Loan Inputs'!$B$17)))</f>
        <v>250</v>
      </c>
    </row>
    <row r="203" spans="1:8" ht="22" customHeight="1">
      <c r="A203" s="1">
        <f>IF(AND('Loan Inputs'!$B$12,197&lt;=IF('Loan Inputs'!$B$12,'Loan Inputs'!$B$7,0)*'Loan Inputs'!$B$14+5*'Loan Inputs'!$B$14,ISNUMBER(G202),G202&gt;0),197,"")</f>
        <v>197</v>
      </c>
      <c r="B203" s="4">
        <f>IF(A203="","",IF('Loan Inputs'!$B$14=12,DATE(YEAR('Loan Inputs'!$B$8),MONTH('Loan Inputs'!$B$8)+A203,DAY('Loan Inputs'!$B$8)),'Loan Inputs'!$B$8+A203*IF('Loan Inputs'!$B$14=26,14,7)))</f>
        <v>52322</v>
      </c>
      <c r="C203" s="2">
        <f t="shared" si="11"/>
        <v>357494.19116896659</v>
      </c>
      <c r="D203" s="2">
        <f>IF(A203="","",MIN('Loan Inputs'!$B$17,C203+E203)+H203)</f>
        <v>4311.533367807353</v>
      </c>
      <c r="E203" s="2">
        <f>IF(A203="","",C203*'Loan Inputs'!$B$15)</f>
        <v>1903.6565679747471</v>
      </c>
      <c r="F203" s="2">
        <f t="shared" si="9"/>
        <v>2407.8767998326057</v>
      </c>
      <c r="G203" s="2">
        <f t="shared" si="10"/>
        <v>355086.31436913396</v>
      </c>
      <c r="H203" s="2">
        <f>IF(A203="","",MIN('Loan Inputs'!$B$18,MAX(0,C203+E203-'Loan Inputs'!$B$17)))</f>
        <v>250</v>
      </c>
    </row>
    <row r="204" spans="1:8" ht="22" customHeight="1">
      <c r="A204" s="1">
        <f>IF(AND('Loan Inputs'!$B$12,198&lt;=IF('Loan Inputs'!$B$12,'Loan Inputs'!$B$7,0)*'Loan Inputs'!$B$14+5*'Loan Inputs'!$B$14,ISNUMBER(G203),G203&gt;0),198,"")</f>
        <v>198</v>
      </c>
      <c r="B204" s="4">
        <f>IF(A204="","",IF('Loan Inputs'!$B$14=12,DATE(YEAR('Loan Inputs'!$B$8),MONTH('Loan Inputs'!$B$8)+A204,DAY('Loan Inputs'!$B$8)),'Loan Inputs'!$B$8+A204*IF('Loan Inputs'!$B$14=26,14,7)))</f>
        <v>52352</v>
      </c>
      <c r="C204" s="2">
        <f t="shared" si="11"/>
        <v>355086.31436913396</v>
      </c>
      <c r="D204" s="2">
        <f>IF(A204="","",MIN('Loan Inputs'!$B$17,C204+E204)+H204)</f>
        <v>4311.533367807353</v>
      </c>
      <c r="E204" s="2">
        <f>IF(A204="","",C204*'Loan Inputs'!$B$15)</f>
        <v>1890.8346240156384</v>
      </c>
      <c r="F204" s="2">
        <f t="shared" si="9"/>
        <v>2420.6987437917146</v>
      </c>
      <c r="G204" s="2">
        <f t="shared" si="10"/>
        <v>352665.61562534224</v>
      </c>
      <c r="H204" s="2">
        <f>IF(A204="","",MIN('Loan Inputs'!$B$18,MAX(0,C204+E204-'Loan Inputs'!$B$17)))</f>
        <v>250</v>
      </c>
    </row>
    <row r="205" spans="1:8" ht="22" customHeight="1">
      <c r="A205" s="1">
        <f>IF(AND('Loan Inputs'!$B$12,199&lt;=IF('Loan Inputs'!$B$12,'Loan Inputs'!$B$7,0)*'Loan Inputs'!$B$14+5*'Loan Inputs'!$B$14,ISNUMBER(G204),G204&gt;0),199,"")</f>
        <v>199</v>
      </c>
      <c r="B205" s="4">
        <f>IF(A205="","",IF('Loan Inputs'!$B$14=12,DATE(YEAR('Loan Inputs'!$B$8),MONTH('Loan Inputs'!$B$8)+A205,DAY('Loan Inputs'!$B$8)),'Loan Inputs'!$B$8+A205*IF('Loan Inputs'!$B$14=26,14,7)))</f>
        <v>52383</v>
      </c>
      <c r="C205" s="2">
        <f t="shared" si="11"/>
        <v>352665.61562534224</v>
      </c>
      <c r="D205" s="2">
        <f>IF(A205="","",MIN('Loan Inputs'!$B$17,C205+E205)+H205)</f>
        <v>4311.533367807353</v>
      </c>
      <c r="E205" s="2">
        <f>IF(A205="","",C205*'Loan Inputs'!$B$15)</f>
        <v>1877.9444032049473</v>
      </c>
      <c r="F205" s="2">
        <f t="shared" si="9"/>
        <v>2433.5889646024057</v>
      </c>
      <c r="G205" s="2">
        <f t="shared" si="10"/>
        <v>350232.02666073985</v>
      </c>
      <c r="H205" s="2">
        <f>IF(A205="","",MIN('Loan Inputs'!$B$18,MAX(0,C205+E205-'Loan Inputs'!$B$17)))</f>
        <v>250</v>
      </c>
    </row>
    <row r="206" spans="1:8" ht="22" customHeight="1">
      <c r="A206" s="1">
        <f>IF(AND('Loan Inputs'!$B$12,200&lt;=IF('Loan Inputs'!$B$12,'Loan Inputs'!$B$7,0)*'Loan Inputs'!$B$14+5*'Loan Inputs'!$B$14,ISNUMBER(G205),G205&gt;0),200,"")</f>
        <v>200</v>
      </c>
      <c r="B206" s="4">
        <f>IF(A206="","",IF('Loan Inputs'!$B$14=12,DATE(YEAR('Loan Inputs'!$B$8),MONTH('Loan Inputs'!$B$8)+A206,DAY('Loan Inputs'!$B$8)),'Loan Inputs'!$B$8+A206*IF('Loan Inputs'!$B$14=26,14,7)))</f>
        <v>52413</v>
      </c>
      <c r="C206" s="2">
        <f t="shared" si="11"/>
        <v>350232.02666073985</v>
      </c>
      <c r="D206" s="2">
        <f>IF(A206="","",MIN('Loan Inputs'!$B$17,C206+E206)+H206)</f>
        <v>4311.533367807353</v>
      </c>
      <c r="E206" s="2">
        <f>IF(A206="","",C206*'Loan Inputs'!$B$15)</f>
        <v>1864.9855419684397</v>
      </c>
      <c r="F206" s="2">
        <f t="shared" si="9"/>
        <v>2446.547825838913</v>
      </c>
      <c r="G206" s="2">
        <f t="shared" si="10"/>
        <v>347785.47883490095</v>
      </c>
      <c r="H206" s="2">
        <f>IF(A206="","",MIN('Loan Inputs'!$B$18,MAX(0,C206+E206-'Loan Inputs'!$B$17)))</f>
        <v>250</v>
      </c>
    </row>
    <row r="207" spans="1:8" ht="22" customHeight="1">
      <c r="A207" s="1">
        <f>IF(AND('Loan Inputs'!$B$12,201&lt;=IF('Loan Inputs'!$B$12,'Loan Inputs'!$B$7,0)*'Loan Inputs'!$B$14+5*'Loan Inputs'!$B$14,ISNUMBER(G206),G206&gt;0),201,"")</f>
        <v>201</v>
      </c>
      <c r="B207" s="4">
        <f>IF(A207="","",IF('Loan Inputs'!$B$14=12,DATE(YEAR('Loan Inputs'!$B$8),MONTH('Loan Inputs'!$B$8)+A207,DAY('Loan Inputs'!$B$8)),'Loan Inputs'!$B$8+A207*IF('Loan Inputs'!$B$14=26,14,7)))</f>
        <v>52444</v>
      </c>
      <c r="C207" s="2">
        <f t="shared" si="11"/>
        <v>347785.47883490095</v>
      </c>
      <c r="D207" s="2">
        <f>IF(A207="","",MIN('Loan Inputs'!$B$17,C207+E207)+H207)</f>
        <v>4311.533367807353</v>
      </c>
      <c r="E207" s="2">
        <f>IF(A207="","",C207*'Loan Inputs'!$B$15)</f>
        <v>1851.9576747958474</v>
      </c>
      <c r="F207" s="2">
        <f t="shared" si="9"/>
        <v>2459.5756930115058</v>
      </c>
      <c r="G207" s="2">
        <f t="shared" si="10"/>
        <v>345325.90314188943</v>
      </c>
      <c r="H207" s="2">
        <f>IF(A207="","",MIN('Loan Inputs'!$B$18,MAX(0,C207+E207-'Loan Inputs'!$B$17)))</f>
        <v>250</v>
      </c>
    </row>
    <row r="208" spans="1:8" ht="22" customHeight="1">
      <c r="A208" s="1">
        <f>IF(AND('Loan Inputs'!$B$12,202&lt;=IF('Loan Inputs'!$B$12,'Loan Inputs'!$B$7,0)*'Loan Inputs'!$B$14+5*'Loan Inputs'!$B$14,ISNUMBER(G207),G207&gt;0),202,"")</f>
        <v>202</v>
      </c>
      <c r="B208" s="4">
        <f>IF(A208="","",IF('Loan Inputs'!$B$14=12,DATE(YEAR('Loan Inputs'!$B$8),MONTH('Loan Inputs'!$B$8)+A208,DAY('Loan Inputs'!$B$8)),'Loan Inputs'!$B$8+A208*IF('Loan Inputs'!$B$14=26,14,7)))</f>
        <v>52475</v>
      </c>
      <c r="C208" s="2">
        <f t="shared" si="11"/>
        <v>345325.90314188943</v>
      </c>
      <c r="D208" s="2">
        <f>IF(A208="","",MIN('Loan Inputs'!$B$17,C208+E208)+H208)</f>
        <v>4311.533367807353</v>
      </c>
      <c r="E208" s="2">
        <f>IF(A208="","",C208*'Loan Inputs'!$B$15)</f>
        <v>1838.8604342305612</v>
      </c>
      <c r="F208" s="2">
        <f t="shared" si="9"/>
        <v>2472.6729335767918</v>
      </c>
      <c r="G208" s="2">
        <f t="shared" si="10"/>
        <v>342853.23020831263</v>
      </c>
      <c r="H208" s="2">
        <f>IF(A208="","",MIN('Loan Inputs'!$B$18,MAX(0,C208+E208-'Loan Inputs'!$B$17)))</f>
        <v>250</v>
      </c>
    </row>
    <row r="209" spans="1:8" ht="22" customHeight="1">
      <c r="A209" s="1">
        <f>IF(AND('Loan Inputs'!$B$12,203&lt;=IF('Loan Inputs'!$B$12,'Loan Inputs'!$B$7,0)*'Loan Inputs'!$B$14+5*'Loan Inputs'!$B$14,ISNUMBER(G208),G208&gt;0),203,"")</f>
        <v>203</v>
      </c>
      <c r="B209" s="4">
        <f>IF(A209="","",IF('Loan Inputs'!$B$14=12,DATE(YEAR('Loan Inputs'!$B$8),MONTH('Loan Inputs'!$B$8)+A209,DAY('Loan Inputs'!$B$8)),'Loan Inputs'!$B$8+A209*IF('Loan Inputs'!$B$14=26,14,7)))</f>
        <v>52505</v>
      </c>
      <c r="C209" s="2">
        <f t="shared" si="11"/>
        <v>342853.23020831263</v>
      </c>
      <c r="D209" s="2">
        <f>IF(A209="","",MIN('Loan Inputs'!$B$17,C209+E209)+H209)</f>
        <v>4311.533367807353</v>
      </c>
      <c r="E209" s="2">
        <f>IF(A209="","",C209*'Loan Inputs'!$B$15)</f>
        <v>1825.6934508592647</v>
      </c>
      <c r="F209" s="2">
        <f t="shared" si="9"/>
        <v>2485.8399169480881</v>
      </c>
      <c r="G209" s="2">
        <f t="shared" si="10"/>
        <v>340367.39029136451</v>
      </c>
      <c r="H209" s="2">
        <f>IF(A209="","",MIN('Loan Inputs'!$B$18,MAX(0,C209+E209-'Loan Inputs'!$B$17)))</f>
        <v>250</v>
      </c>
    </row>
    <row r="210" spans="1:8" ht="22" customHeight="1">
      <c r="A210" s="1">
        <f>IF(AND('Loan Inputs'!$B$12,204&lt;=IF('Loan Inputs'!$B$12,'Loan Inputs'!$B$7,0)*'Loan Inputs'!$B$14+5*'Loan Inputs'!$B$14,ISNUMBER(G209),G209&gt;0),204,"")</f>
        <v>204</v>
      </c>
      <c r="B210" s="4">
        <f>IF(A210="","",IF('Loan Inputs'!$B$14=12,DATE(YEAR('Loan Inputs'!$B$8),MONTH('Loan Inputs'!$B$8)+A210,DAY('Loan Inputs'!$B$8)),'Loan Inputs'!$B$8+A210*IF('Loan Inputs'!$B$14=26,14,7)))</f>
        <v>52536</v>
      </c>
      <c r="C210" s="2">
        <f t="shared" si="11"/>
        <v>340367.39029136451</v>
      </c>
      <c r="D210" s="2">
        <f>IF(A210="","",MIN('Loan Inputs'!$B$17,C210+E210)+H210)</f>
        <v>4311.533367807353</v>
      </c>
      <c r="E210" s="2">
        <f>IF(A210="","",C210*'Loan Inputs'!$B$15)</f>
        <v>1812.4563533015159</v>
      </c>
      <c r="F210" s="2">
        <f t="shared" si="9"/>
        <v>2499.0770145058368</v>
      </c>
      <c r="G210" s="2">
        <f t="shared" si="10"/>
        <v>337868.31327685865</v>
      </c>
      <c r="H210" s="2">
        <f>IF(A210="","",MIN('Loan Inputs'!$B$18,MAX(0,C210+E210-'Loan Inputs'!$B$17)))</f>
        <v>250</v>
      </c>
    </row>
    <row r="211" spans="1:8" ht="22" customHeight="1">
      <c r="A211" s="1">
        <f>IF(AND('Loan Inputs'!$B$12,205&lt;=IF('Loan Inputs'!$B$12,'Loan Inputs'!$B$7,0)*'Loan Inputs'!$B$14+5*'Loan Inputs'!$B$14,ISNUMBER(G210),G210&gt;0),205,"")</f>
        <v>205</v>
      </c>
      <c r="B211" s="4">
        <f>IF(A211="","",IF('Loan Inputs'!$B$14=12,DATE(YEAR('Loan Inputs'!$B$8),MONTH('Loan Inputs'!$B$8)+A211,DAY('Loan Inputs'!$B$8)),'Loan Inputs'!$B$8+A211*IF('Loan Inputs'!$B$14=26,14,7)))</f>
        <v>52566</v>
      </c>
      <c r="C211" s="2">
        <f t="shared" si="11"/>
        <v>337868.31327685865</v>
      </c>
      <c r="D211" s="2">
        <f>IF(A211="","",MIN('Loan Inputs'!$B$17,C211+E211)+H211)</f>
        <v>4311.533367807353</v>
      </c>
      <c r="E211" s="2">
        <f>IF(A211="","",C211*'Loan Inputs'!$B$15)</f>
        <v>1799.1487681992724</v>
      </c>
      <c r="F211" s="2">
        <f t="shared" si="9"/>
        <v>2512.3845996080809</v>
      </c>
      <c r="G211" s="2">
        <f t="shared" si="10"/>
        <v>335355.92867725057</v>
      </c>
      <c r="H211" s="2">
        <f>IF(A211="","",MIN('Loan Inputs'!$B$18,MAX(0,C211+E211-'Loan Inputs'!$B$17)))</f>
        <v>250</v>
      </c>
    </row>
    <row r="212" spans="1:8" ht="22" customHeight="1">
      <c r="A212" s="1">
        <f>IF(AND('Loan Inputs'!$B$12,206&lt;=IF('Loan Inputs'!$B$12,'Loan Inputs'!$B$7,0)*'Loan Inputs'!$B$14+5*'Loan Inputs'!$B$14,ISNUMBER(G211),G211&gt;0),206,"")</f>
        <v>206</v>
      </c>
      <c r="B212" s="4">
        <f>IF(A212="","",IF('Loan Inputs'!$B$14=12,DATE(YEAR('Loan Inputs'!$B$8),MONTH('Loan Inputs'!$B$8)+A212,DAY('Loan Inputs'!$B$8)),'Loan Inputs'!$B$8+A212*IF('Loan Inputs'!$B$14=26,14,7)))</f>
        <v>52597</v>
      </c>
      <c r="C212" s="2">
        <f t="shared" si="11"/>
        <v>335355.92867725057</v>
      </c>
      <c r="D212" s="2">
        <f>IF(A212="","",MIN('Loan Inputs'!$B$17,C212+E212)+H212)</f>
        <v>4311.533367807353</v>
      </c>
      <c r="E212" s="2">
        <f>IF(A212="","",C212*'Loan Inputs'!$B$15)</f>
        <v>1785.7703202063592</v>
      </c>
      <c r="F212" s="2">
        <f t="shared" si="9"/>
        <v>2525.7630476009936</v>
      </c>
      <c r="G212" s="2">
        <f t="shared" si="10"/>
        <v>332830.16562964959</v>
      </c>
      <c r="H212" s="2">
        <f>IF(A212="","",MIN('Loan Inputs'!$B$18,MAX(0,C212+E212-'Loan Inputs'!$B$17)))</f>
        <v>250</v>
      </c>
    </row>
    <row r="213" spans="1:8" ht="22" customHeight="1">
      <c r="A213" s="1">
        <f>IF(AND('Loan Inputs'!$B$12,207&lt;=IF('Loan Inputs'!$B$12,'Loan Inputs'!$B$7,0)*'Loan Inputs'!$B$14+5*'Loan Inputs'!$B$14,ISNUMBER(G212),G212&gt;0),207,"")</f>
        <v>207</v>
      </c>
      <c r="B213" s="4">
        <f>IF(A213="","",IF('Loan Inputs'!$B$14=12,DATE(YEAR('Loan Inputs'!$B$8),MONTH('Loan Inputs'!$B$8)+A213,DAY('Loan Inputs'!$B$8)),'Loan Inputs'!$B$8+A213*IF('Loan Inputs'!$B$14=26,14,7)))</f>
        <v>52628</v>
      </c>
      <c r="C213" s="2">
        <f t="shared" si="11"/>
        <v>332830.16562964959</v>
      </c>
      <c r="D213" s="2">
        <f>IF(A213="","",MIN('Loan Inputs'!$B$17,C213+E213)+H213)</f>
        <v>4311.533367807353</v>
      </c>
      <c r="E213" s="2">
        <f>IF(A213="","",C213*'Loan Inputs'!$B$15)</f>
        <v>1772.320631977884</v>
      </c>
      <c r="F213" s="2">
        <f t="shared" si="9"/>
        <v>2539.2127358294692</v>
      </c>
      <c r="G213" s="2">
        <f t="shared" si="10"/>
        <v>330290.95289382013</v>
      </c>
      <c r="H213" s="2">
        <f>IF(A213="","",MIN('Loan Inputs'!$B$18,MAX(0,C213+E213-'Loan Inputs'!$B$17)))</f>
        <v>250</v>
      </c>
    </row>
    <row r="214" spans="1:8" ht="22" customHeight="1">
      <c r="A214" s="1">
        <f>IF(AND('Loan Inputs'!$B$12,208&lt;=IF('Loan Inputs'!$B$12,'Loan Inputs'!$B$7,0)*'Loan Inputs'!$B$14+5*'Loan Inputs'!$B$14,ISNUMBER(G213),G213&gt;0),208,"")</f>
        <v>208</v>
      </c>
      <c r="B214" s="4">
        <f>IF(A214="","",IF('Loan Inputs'!$B$14=12,DATE(YEAR('Loan Inputs'!$B$8),MONTH('Loan Inputs'!$B$8)+A214,DAY('Loan Inputs'!$B$8)),'Loan Inputs'!$B$8+A214*IF('Loan Inputs'!$B$14=26,14,7)))</f>
        <v>52657</v>
      </c>
      <c r="C214" s="2">
        <f t="shared" si="11"/>
        <v>330290.95289382013</v>
      </c>
      <c r="D214" s="2">
        <f>IF(A214="","",MIN('Loan Inputs'!$B$17,C214+E214)+H214)</f>
        <v>4311.533367807353</v>
      </c>
      <c r="E214" s="2">
        <f>IF(A214="","",C214*'Loan Inputs'!$B$15)</f>
        <v>1758.7993241595921</v>
      </c>
      <c r="F214" s="2">
        <f t="shared" si="9"/>
        <v>2552.7340436477607</v>
      </c>
      <c r="G214" s="2">
        <f t="shared" si="10"/>
        <v>327738.21885017236</v>
      </c>
      <c r="H214" s="2">
        <f>IF(A214="","",MIN('Loan Inputs'!$B$18,MAX(0,C214+E214-'Loan Inputs'!$B$17)))</f>
        <v>250</v>
      </c>
    </row>
    <row r="215" spans="1:8" ht="22" customHeight="1">
      <c r="A215" s="1">
        <f>IF(AND('Loan Inputs'!$B$12,209&lt;=IF('Loan Inputs'!$B$12,'Loan Inputs'!$B$7,0)*'Loan Inputs'!$B$14+5*'Loan Inputs'!$B$14,ISNUMBER(G214),G214&gt;0),209,"")</f>
        <v>209</v>
      </c>
      <c r="B215" s="4">
        <f>IF(A215="","",IF('Loan Inputs'!$B$14=12,DATE(YEAR('Loan Inputs'!$B$8),MONTH('Loan Inputs'!$B$8)+A215,DAY('Loan Inputs'!$B$8)),'Loan Inputs'!$B$8+A215*IF('Loan Inputs'!$B$14=26,14,7)))</f>
        <v>52688</v>
      </c>
      <c r="C215" s="2">
        <f t="shared" si="11"/>
        <v>327738.21885017236</v>
      </c>
      <c r="D215" s="2">
        <f>IF(A215="","",MIN('Loan Inputs'!$B$17,C215+E215)+H215)</f>
        <v>4311.533367807353</v>
      </c>
      <c r="E215" s="2">
        <f>IF(A215="","",C215*'Loan Inputs'!$B$15)</f>
        <v>1745.2060153771677</v>
      </c>
      <c r="F215" s="2">
        <f t="shared" si="9"/>
        <v>2566.3273524301853</v>
      </c>
      <c r="G215" s="2">
        <f t="shared" si="10"/>
        <v>325171.89149774215</v>
      </c>
      <c r="H215" s="2">
        <f>IF(A215="","",MIN('Loan Inputs'!$B$18,MAX(0,C215+E215-'Loan Inputs'!$B$17)))</f>
        <v>250</v>
      </c>
    </row>
    <row r="216" spans="1:8" ht="22" customHeight="1">
      <c r="A216" s="1">
        <f>IF(AND('Loan Inputs'!$B$12,210&lt;=IF('Loan Inputs'!$B$12,'Loan Inputs'!$B$7,0)*'Loan Inputs'!$B$14+5*'Loan Inputs'!$B$14,ISNUMBER(G215),G215&gt;0),210,"")</f>
        <v>210</v>
      </c>
      <c r="B216" s="4">
        <f>IF(A216="","",IF('Loan Inputs'!$B$14=12,DATE(YEAR('Loan Inputs'!$B$8),MONTH('Loan Inputs'!$B$8)+A216,DAY('Loan Inputs'!$B$8)),'Loan Inputs'!$B$8+A216*IF('Loan Inputs'!$B$14=26,14,7)))</f>
        <v>52718</v>
      </c>
      <c r="C216" s="2">
        <f t="shared" si="11"/>
        <v>325171.89149774215</v>
      </c>
      <c r="D216" s="2">
        <f>IF(A216="","",MIN('Loan Inputs'!$B$17,C216+E216)+H216)</f>
        <v>4311.533367807353</v>
      </c>
      <c r="E216" s="2">
        <f>IF(A216="","",C216*'Loan Inputs'!$B$15)</f>
        <v>1731.540322225477</v>
      </c>
      <c r="F216" s="2">
        <f t="shared" si="9"/>
        <v>2579.9930455818758</v>
      </c>
      <c r="G216" s="2">
        <f t="shared" si="10"/>
        <v>322591.8984521603</v>
      </c>
      <c r="H216" s="2">
        <f>IF(A216="","",MIN('Loan Inputs'!$B$18,MAX(0,C216+E216-'Loan Inputs'!$B$17)))</f>
        <v>250</v>
      </c>
    </row>
    <row r="217" spans="1:8" ht="22" customHeight="1">
      <c r="A217" s="1">
        <f>IF(AND('Loan Inputs'!$B$12,211&lt;=IF('Loan Inputs'!$B$12,'Loan Inputs'!$B$7,0)*'Loan Inputs'!$B$14+5*'Loan Inputs'!$B$14,ISNUMBER(G216),G216&gt;0),211,"")</f>
        <v>211</v>
      </c>
      <c r="B217" s="4">
        <f>IF(A217="","",IF('Loan Inputs'!$B$14=12,DATE(YEAR('Loan Inputs'!$B$8),MONTH('Loan Inputs'!$B$8)+A217,DAY('Loan Inputs'!$B$8)),'Loan Inputs'!$B$8+A217*IF('Loan Inputs'!$B$14=26,14,7)))</f>
        <v>52749</v>
      </c>
      <c r="C217" s="2">
        <f t="shared" si="11"/>
        <v>322591.8984521603</v>
      </c>
      <c r="D217" s="2">
        <f>IF(A217="","",MIN('Loan Inputs'!$B$17,C217+E217)+H217)</f>
        <v>4311.533367807353</v>
      </c>
      <c r="E217" s="2">
        <f>IF(A217="","",C217*'Loan Inputs'!$B$15)</f>
        <v>1717.8018592577534</v>
      </c>
      <c r="F217" s="2">
        <f t="shared" si="9"/>
        <v>2593.7315085495993</v>
      </c>
      <c r="G217" s="2">
        <f t="shared" si="10"/>
        <v>319998.1669436107</v>
      </c>
      <c r="H217" s="2">
        <f>IF(A217="","",MIN('Loan Inputs'!$B$18,MAX(0,C217+E217-'Loan Inputs'!$B$17)))</f>
        <v>250</v>
      </c>
    </row>
    <row r="218" spans="1:8" ht="22" customHeight="1">
      <c r="A218" s="1">
        <f>IF(AND('Loan Inputs'!$B$12,212&lt;=IF('Loan Inputs'!$B$12,'Loan Inputs'!$B$7,0)*'Loan Inputs'!$B$14+5*'Loan Inputs'!$B$14,ISNUMBER(G217),G217&gt;0),212,"")</f>
        <v>212</v>
      </c>
      <c r="B218" s="4">
        <f>IF(A218="","",IF('Loan Inputs'!$B$14=12,DATE(YEAR('Loan Inputs'!$B$8),MONTH('Loan Inputs'!$B$8)+A218,DAY('Loan Inputs'!$B$8)),'Loan Inputs'!$B$8+A218*IF('Loan Inputs'!$B$14=26,14,7)))</f>
        <v>52779</v>
      </c>
      <c r="C218" s="2">
        <f t="shared" si="11"/>
        <v>319998.1669436107</v>
      </c>
      <c r="D218" s="2">
        <f>IF(A218="","",MIN('Loan Inputs'!$B$17,C218+E218)+H218)</f>
        <v>4311.533367807353</v>
      </c>
      <c r="E218" s="2">
        <f>IF(A218="","",C218*'Loan Inputs'!$B$15)</f>
        <v>1703.9902389747269</v>
      </c>
      <c r="F218" s="2">
        <f t="shared" si="9"/>
        <v>2607.5431288326263</v>
      </c>
      <c r="G218" s="2">
        <f t="shared" si="10"/>
        <v>317390.62381477805</v>
      </c>
      <c r="H218" s="2">
        <f>IF(A218="","",MIN('Loan Inputs'!$B$18,MAX(0,C218+E218-'Loan Inputs'!$B$17)))</f>
        <v>250</v>
      </c>
    </row>
    <row r="219" spans="1:8" ht="22" customHeight="1">
      <c r="A219" s="1">
        <f>IF(AND('Loan Inputs'!$B$12,213&lt;=IF('Loan Inputs'!$B$12,'Loan Inputs'!$B$7,0)*'Loan Inputs'!$B$14+5*'Loan Inputs'!$B$14,ISNUMBER(G218),G218&gt;0),213,"")</f>
        <v>213</v>
      </c>
      <c r="B219" s="4">
        <f>IF(A219="","",IF('Loan Inputs'!$B$14=12,DATE(YEAR('Loan Inputs'!$B$8),MONTH('Loan Inputs'!$B$8)+A219,DAY('Loan Inputs'!$B$8)),'Loan Inputs'!$B$8+A219*IF('Loan Inputs'!$B$14=26,14,7)))</f>
        <v>52810</v>
      </c>
      <c r="C219" s="2">
        <f t="shared" si="11"/>
        <v>317390.62381477805</v>
      </c>
      <c r="D219" s="2">
        <f>IF(A219="","",MIN('Loan Inputs'!$B$17,C219+E219)+H219)</f>
        <v>4311.533367807353</v>
      </c>
      <c r="E219" s="2">
        <f>IF(A219="","",C219*'Loan Inputs'!$B$15)</f>
        <v>1690.105071813693</v>
      </c>
      <c r="F219" s="2">
        <f t="shared" si="9"/>
        <v>2621.42829599366</v>
      </c>
      <c r="G219" s="2">
        <f t="shared" si="10"/>
        <v>314769.1955187844</v>
      </c>
      <c r="H219" s="2">
        <f>IF(A219="","",MIN('Loan Inputs'!$B$18,MAX(0,C219+E219-'Loan Inputs'!$B$17)))</f>
        <v>250</v>
      </c>
    </row>
    <row r="220" spans="1:8" ht="22" customHeight="1">
      <c r="A220" s="1">
        <f>IF(AND('Loan Inputs'!$B$12,214&lt;=IF('Loan Inputs'!$B$12,'Loan Inputs'!$B$7,0)*'Loan Inputs'!$B$14+5*'Loan Inputs'!$B$14,ISNUMBER(G219),G219&gt;0),214,"")</f>
        <v>214</v>
      </c>
      <c r="B220" s="4">
        <f>IF(A220="","",IF('Loan Inputs'!$B$14=12,DATE(YEAR('Loan Inputs'!$B$8),MONTH('Loan Inputs'!$B$8)+A220,DAY('Loan Inputs'!$B$8)),'Loan Inputs'!$B$8+A220*IF('Loan Inputs'!$B$14=26,14,7)))</f>
        <v>52841</v>
      </c>
      <c r="C220" s="2">
        <f t="shared" si="11"/>
        <v>314769.1955187844</v>
      </c>
      <c r="D220" s="2">
        <f>IF(A220="","",MIN('Loan Inputs'!$B$17,C220+E220)+H220)</f>
        <v>4311.533367807353</v>
      </c>
      <c r="E220" s="2">
        <f>IF(A220="","",C220*'Loan Inputs'!$B$15)</f>
        <v>1676.1459661375268</v>
      </c>
      <c r="F220" s="2">
        <f t="shared" si="9"/>
        <v>2635.3874016698264</v>
      </c>
      <c r="G220" s="2">
        <f t="shared" si="10"/>
        <v>312133.80811711459</v>
      </c>
      <c r="H220" s="2">
        <f>IF(A220="","",MIN('Loan Inputs'!$B$18,MAX(0,C220+E220-'Loan Inputs'!$B$17)))</f>
        <v>250</v>
      </c>
    </row>
    <row r="221" spans="1:8" ht="22" customHeight="1">
      <c r="A221" s="1">
        <f>IF(AND('Loan Inputs'!$B$12,215&lt;=IF('Loan Inputs'!$B$12,'Loan Inputs'!$B$7,0)*'Loan Inputs'!$B$14+5*'Loan Inputs'!$B$14,ISNUMBER(G220),G220&gt;0),215,"")</f>
        <v>215</v>
      </c>
      <c r="B221" s="4">
        <f>IF(A221="","",IF('Loan Inputs'!$B$14=12,DATE(YEAR('Loan Inputs'!$B$8),MONTH('Loan Inputs'!$B$8)+A221,DAY('Loan Inputs'!$B$8)),'Loan Inputs'!$B$8+A221*IF('Loan Inputs'!$B$14=26,14,7)))</f>
        <v>52871</v>
      </c>
      <c r="C221" s="2">
        <f t="shared" si="11"/>
        <v>312133.80811711459</v>
      </c>
      <c r="D221" s="2">
        <f>IF(A221="","",MIN('Loan Inputs'!$B$17,C221+E221)+H221)</f>
        <v>4311.533367807353</v>
      </c>
      <c r="E221" s="2">
        <f>IF(A221="","",C221*'Loan Inputs'!$B$15)</f>
        <v>1662.1125282236351</v>
      </c>
      <c r="F221" s="2">
        <f t="shared" si="9"/>
        <v>2649.4208395837177</v>
      </c>
      <c r="G221" s="2">
        <f t="shared" si="10"/>
        <v>309484.38727753086</v>
      </c>
      <c r="H221" s="2">
        <f>IF(A221="","",MIN('Loan Inputs'!$B$18,MAX(0,C221+E221-'Loan Inputs'!$B$17)))</f>
        <v>250</v>
      </c>
    </row>
    <row r="222" spans="1:8" ht="22" customHeight="1">
      <c r="A222" s="1">
        <f>IF(AND('Loan Inputs'!$B$12,216&lt;=IF('Loan Inputs'!$B$12,'Loan Inputs'!$B$7,0)*'Loan Inputs'!$B$14+5*'Loan Inputs'!$B$14,ISNUMBER(G221),G221&gt;0),216,"")</f>
        <v>216</v>
      </c>
      <c r="B222" s="4">
        <f>IF(A222="","",IF('Loan Inputs'!$B$14=12,DATE(YEAR('Loan Inputs'!$B$8),MONTH('Loan Inputs'!$B$8)+A222,DAY('Loan Inputs'!$B$8)),'Loan Inputs'!$B$8+A222*IF('Loan Inputs'!$B$14=26,14,7)))</f>
        <v>52902</v>
      </c>
      <c r="C222" s="2">
        <f t="shared" si="11"/>
        <v>309484.38727753086</v>
      </c>
      <c r="D222" s="2">
        <f>IF(A222="","",MIN('Loan Inputs'!$B$17,C222+E222)+H222)</f>
        <v>4311.533367807353</v>
      </c>
      <c r="E222" s="2">
        <f>IF(A222="","",C222*'Loan Inputs'!$B$15)</f>
        <v>1648.0043622528517</v>
      </c>
      <c r="F222" s="2">
        <f t="shared" si="9"/>
        <v>2663.5290055545011</v>
      </c>
      <c r="G222" s="2">
        <f t="shared" si="10"/>
        <v>306820.85827197635</v>
      </c>
      <c r="H222" s="2">
        <f>IF(A222="","",MIN('Loan Inputs'!$B$18,MAX(0,C222+E222-'Loan Inputs'!$B$17)))</f>
        <v>250</v>
      </c>
    </row>
    <row r="223" spans="1:8" ht="22" customHeight="1">
      <c r="A223" s="1">
        <f>IF(AND('Loan Inputs'!$B$12,217&lt;=IF('Loan Inputs'!$B$12,'Loan Inputs'!$B$7,0)*'Loan Inputs'!$B$14+5*'Loan Inputs'!$B$14,ISNUMBER(G222),G222&gt;0),217,"")</f>
        <v>217</v>
      </c>
      <c r="B223" s="4">
        <f>IF(A223="","",IF('Loan Inputs'!$B$14=12,DATE(YEAR('Loan Inputs'!$B$8),MONTH('Loan Inputs'!$B$8)+A223,DAY('Loan Inputs'!$B$8)),'Loan Inputs'!$B$8+A223*IF('Loan Inputs'!$B$14=26,14,7)))</f>
        <v>52932</v>
      </c>
      <c r="C223" s="2">
        <f t="shared" si="11"/>
        <v>306820.85827197635</v>
      </c>
      <c r="D223" s="2">
        <f>IF(A223="","",MIN('Loan Inputs'!$B$17,C223+E223)+H223)</f>
        <v>4311.533367807353</v>
      </c>
      <c r="E223" s="2">
        <f>IF(A223="","",C223*'Loan Inputs'!$B$15)</f>
        <v>1633.821070298274</v>
      </c>
      <c r="F223" s="2">
        <f t="shared" si="9"/>
        <v>2677.7122975090788</v>
      </c>
      <c r="G223" s="2">
        <f t="shared" si="10"/>
        <v>304143.14597446728</v>
      </c>
      <c r="H223" s="2">
        <f>IF(A223="","",MIN('Loan Inputs'!$B$18,MAX(0,C223+E223-'Loan Inputs'!$B$17)))</f>
        <v>250</v>
      </c>
    </row>
    <row r="224" spans="1:8" ht="22" customHeight="1">
      <c r="A224" s="1">
        <f>IF(AND('Loan Inputs'!$B$12,218&lt;=IF('Loan Inputs'!$B$12,'Loan Inputs'!$B$7,0)*'Loan Inputs'!$B$14+5*'Loan Inputs'!$B$14,ISNUMBER(G223),G223&gt;0),218,"")</f>
        <v>218</v>
      </c>
      <c r="B224" s="4">
        <f>IF(A224="","",IF('Loan Inputs'!$B$14=12,DATE(YEAR('Loan Inputs'!$B$8),MONTH('Loan Inputs'!$B$8)+A224,DAY('Loan Inputs'!$B$8)),'Loan Inputs'!$B$8+A224*IF('Loan Inputs'!$B$14=26,14,7)))</f>
        <v>52963</v>
      </c>
      <c r="C224" s="2">
        <f t="shared" si="11"/>
        <v>304143.14597446728</v>
      </c>
      <c r="D224" s="2">
        <f>IF(A224="","",MIN('Loan Inputs'!$B$17,C224+E224)+H224)</f>
        <v>4311.533367807353</v>
      </c>
      <c r="E224" s="2">
        <f>IF(A224="","",C224*'Loan Inputs'!$B$15)</f>
        <v>1619.5622523140382</v>
      </c>
      <c r="F224" s="2">
        <f t="shared" si="9"/>
        <v>2691.9711154933148</v>
      </c>
      <c r="G224" s="2">
        <f t="shared" si="10"/>
        <v>301451.17485897394</v>
      </c>
      <c r="H224" s="2">
        <f>IF(A224="","",MIN('Loan Inputs'!$B$18,MAX(0,C224+E224-'Loan Inputs'!$B$17)))</f>
        <v>250</v>
      </c>
    </row>
    <row r="225" spans="1:8" ht="22" customHeight="1">
      <c r="A225" s="1">
        <f>IF(AND('Loan Inputs'!$B$12,219&lt;=IF('Loan Inputs'!$B$12,'Loan Inputs'!$B$7,0)*'Loan Inputs'!$B$14+5*'Loan Inputs'!$B$14,ISNUMBER(G224),G224&gt;0),219,"")</f>
        <v>219</v>
      </c>
      <c r="B225" s="4">
        <f>IF(A225="","",IF('Loan Inputs'!$B$14=12,DATE(YEAR('Loan Inputs'!$B$8),MONTH('Loan Inputs'!$B$8)+A225,DAY('Loan Inputs'!$B$8)),'Loan Inputs'!$B$8+A225*IF('Loan Inputs'!$B$14=26,14,7)))</f>
        <v>52994</v>
      </c>
      <c r="C225" s="2">
        <f t="shared" si="11"/>
        <v>301451.17485897394</v>
      </c>
      <c r="D225" s="2">
        <f>IF(A225="","",MIN('Loan Inputs'!$B$17,C225+E225)+H225)</f>
        <v>4311.533367807353</v>
      </c>
      <c r="E225" s="2">
        <f>IF(A225="","",C225*'Loan Inputs'!$B$15)</f>
        <v>1605.2275061240362</v>
      </c>
      <c r="F225" s="2">
        <f t="shared" si="9"/>
        <v>2706.3058616833168</v>
      </c>
      <c r="G225" s="2">
        <f t="shared" si="10"/>
        <v>298744.86899729061</v>
      </c>
      <c r="H225" s="2">
        <f>IF(A225="","",MIN('Loan Inputs'!$B$18,MAX(0,C225+E225-'Loan Inputs'!$B$17)))</f>
        <v>250</v>
      </c>
    </row>
    <row r="226" spans="1:8" ht="22" customHeight="1">
      <c r="A226" s="1">
        <f>IF(AND('Loan Inputs'!$B$12,220&lt;=IF('Loan Inputs'!$B$12,'Loan Inputs'!$B$7,0)*'Loan Inputs'!$B$14+5*'Loan Inputs'!$B$14,ISNUMBER(G225),G225&gt;0),220,"")</f>
        <v>220</v>
      </c>
      <c r="B226" s="4">
        <f>IF(A226="","",IF('Loan Inputs'!$B$14=12,DATE(YEAR('Loan Inputs'!$B$8),MONTH('Loan Inputs'!$B$8)+A226,DAY('Loan Inputs'!$B$8)),'Loan Inputs'!$B$8+A226*IF('Loan Inputs'!$B$14=26,14,7)))</f>
        <v>53022</v>
      </c>
      <c r="C226" s="2">
        <f t="shared" si="11"/>
        <v>298744.86899729061</v>
      </c>
      <c r="D226" s="2">
        <f>IF(A226="","",MIN('Loan Inputs'!$B$17,C226+E226)+H226)</f>
        <v>4311.533367807353</v>
      </c>
      <c r="E226" s="2">
        <f>IF(A226="","",C226*'Loan Inputs'!$B$15)</f>
        <v>1590.8164274105725</v>
      </c>
      <c r="F226" s="2">
        <f t="shared" si="9"/>
        <v>2720.7169403967805</v>
      </c>
      <c r="G226" s="2">
        <f t="shared" si="10"/>
        <v>296024.15205689386</v>
      </c>
      <c r="H226" s="2">
        <f>IF(A226="","",MIN('Loan Inputs'!$B$18,MAX(0,C226+E226-'Loan Inputs'!$B$17)))</f>
        <v>250</v>
      </c>
    </row>
    <row r="227" spans="1:8" ht="22" customHeight="1">
      <c r="A227" s="1">
        <f>IF(AND('Loan Inputs'!$B$12,221&lt;=IF('Loan Inputs'!$B$12,'Loan Inputs'!$B$7,0)*'Loan Inputs'!$B$14+5*'Loan Inputs'!$B$14,ISNUMBER(G226),G226&gt;0),221,"")</f>
        <v>221</v>
      </c>
      <c r="B227" s="4">
        <f>IF(A227="","",IF('Loan Inputs'!$B$14=12,DATE(YEAR('Loan Inputs'!$B$8),MONTH('Loan Inputs'!$B$8)+A227,DAY('Loan Inputs'!$B$8)),'Loan Inputs'!$B$8+A227*IF('Loan Inputs'!$B$14=26,14,7)))</f>
        <v>53053</v>
      </c>
      <c r="C227" s="2">
        <f t="shared" si="11"/>
        <v>296024.15205689386</v>
      </c>
      <c r="D227" s="2">
        <f>IF(A227="","",MIN('Loan Inputs'!$B$17,C227+E227)+H227)</f>
        <v>4311.533367807353</v>
      </c>
      <c r="E227" s="2">
        <f>IF(A227="","",C227*'Loan Inputs'!$B$15)</f>
        <v>1576.3286097029597</v>
      </c>
      <c r="F227" s="2">
        <f t="shared" si="9"/>
        <v>2735.2047581043935</v>
      </c>
      <c r="G227" s="2">
        <f t="shared" si="10"/>
        <v>293288.94729878946</v>
      </c>
      <c r="H227" s="2">
        <f>IF(A227="","",MIN('Loan Inputs'!$B$18,MAX(0,C227+E227-'Loan Inputs'!$B$17)))</f>
        <v>250</v>
      </c>
    </row>
    <row r="228" spans="1:8" ht="22" customHeight="1">
      <c r="A228" s="1">
        <f>IF(AND('Loan Inputs'!$B$12,222&lt;=IF('Loan Inputs'!$B$12,'Loan Inputs'!$B$7,0)*'Loan Inputs'!$B$14+5*'Loan Inputs'!$B$14,ISNUMBER(G227),G227&gt;0),222,"")</f>
        <v>222</v>
      </c>
      <c r="B228" s="4">
        <f>IF(A228="","",IF('Loan Inputs'!$B$14=12,DATE(YEAR('Loan Inputs'!$B$8),MONTH('Loan Inputs'!$B$8)+A228,DAY('Loan Inputs'!$B$8)),'Loan Inputs'!$B$8+A228*IF('Loan Inputs'!$B$14=26,14,7)))</f>
        <v>53083</v>
      </c>
      <c r="C228" s="2">
        <f t="shared" si="11"/>
        <v>293288.94729878946</v>
      </c>
      <c r="D228" s="2">
        <f>IF(A228="","",MIN('Loan Inputs'!$B$17,C228+E228)+H228)</f>
        <v>4311.533367807353</v>
      </c>
      <c r="E228" s="2">
        <f>IF(A228="","",C228*'Loan Inputs'!$B$15)</f>
        <v>1561.7636443660538</v>
      </c>
      <c r="F228" s="2">
        <f t="shared" si="9"/>
        <v>2749.769723441299</v>
      </c>
      <c r="G228" s="2">
        <f t="shared" si="10"/>
        <v>290539.17757534818</v>
      </c>
      <c r="H228" s="2">
        <f>IF(A228="","",MIN('Loan Inputs'!$B$18,MAX(0,C228+E228-'Loan Inputs'!$B$17)))</f>
        <v>250</v>
      </c>
    </row>
    <row r="229" spans="1:8" ht="22" customHeight="1">
      <c r="A229" s="1">
        <f>IF(AND('Loan Inputs'!$B$12,223&lt;=IF('Loan Inputs'!$B$12,'Loan Inputs'!$B$7,0)*'Loan Inputs'!$B$14+5*'Loan Inputs'!$B$14,ISNUMBER(G228),G228&gt;0),223,"")</f>
        <v>223</v>
      </c>
      <c r="B229" s="4">
        <f>IF(A229="","",IF('Loan Inputs'!$B$14=12,DATE(YEAR('Loan Inputs'!$B$8),MONTH('Loan Inputs'!$B$8)+A229,DAY('Loan Inputs'!$B$8)),'Loan Inputs'!$B$8+A229*IF('Loan Inputs'!$B$14=26,14,7)))</f>
        <v>53114</v>
      </c>
      <c r="C229" s="2">
        <f t="shared" si="11"/>
        <v>290539.17757534818</v>
      </c>
      <c r="D229" s="2">
        <f>IF(A229="","",MIN('Loan Inputs'!$B$17,C229+E229)+H229)</f>
        <v>4311.533367807353</v>
      </c>
      <c r="E229" s="2">
        <f>IF(A229="","",C229*'Loan Inputs'!$B$15)</f>
        <v>1547.1211205887289</v>
      </c>
      <c r="F229" s="2">
        <f t="shared" si="9"/>
        <v>2764.4122472186241</v>
      </c>
      <c r="G229" s="2">
        <f t="shared" si="10"/>
        <v>287774.76532812958</v>
      </c>
      <c r="H229" s="2">
        <f>IF(A229="","",MIN('Loan Inputs'!$B$18,MAX(0,C229+E229-'Loan Inputs'!$B$17)))</f>
        <v>250</v>
      </c>
    </row>
    <row r="230" spans="1:8" ht="22" customHeight="1">
      <c r="A230" s="1">
        <f>IF(AND('Loan Inputs'!$B$12,224&lt;=IF('Loan Inputs'!$B$12,'Loan Inputs'!$B$7,0)*'Loan Inputs'!$B$14+5*'Loan Inputs'!$B$14,ISNUMBER(G229),G229&gt;0),224,"")</f>
        <v>224</v>
      </c>
      <c r="B230" s="4">
        <f>IF(A230="","",IF('Loan Inputs'!$B$14=12,DATE(YEAR('Loan Inputs'!$B$8),MONTH('Loan Inputs'!$B$8)+A230,DAY('Loan Inputs'!$B$8)),'Loan Inputs'!$B$8+A230*IF('Loan Inputs'!$B$14=26,14,7)))</f>
        <v>53144</v>
      </c>
      <c r="C230" s="2">
        <f t="shared" si="11"/>
        <v>287774.76532812958</v>
      </c>
      <c r="D230" s="2">
        <f>IF(A230="","",MIN('Loan Inputs'!$B$17,C230+E230)+H230)</f>
        <v>4311.533367807353</v>
      </c>
      <c r="E230" s="2">
        <f>IF(A230="","",C230*'Loan Inputs'!$B$15)</f>
        <v>1532.4006253722901</v>
      </c>
      <c r="F230" s="2">
        <f t="shared" si="9"/>
        <v>2779.1327424350629</v>
      </c>
      <c r="G230" s="2">
        <f t="shared" si="10"/>
        <v>284995.63258569449</v>
      </c>
      <c r="H230" s="2">
        <f>IF(A230="","",MIN('Loan Inputs'!$B$18,MAX(0,C230+E230-'Loan Inputs'!$B$17)))</f>
        <v>250</v>
      </c>
    </row>
    <row r="231" spans="1:8" ht="22" customHeight="1">
      <c r="A231" s="1">
        <f>IF(AND('Loan Inputs'!$B$12,225&lt;=IF('Loan Inputs'!$B$12,'Loan Inputs'!$B$7,0)*'Loan Inputs'!$B$14+5*'Loan Inputs'!$B$14,ISNUMBER(G230),G230&gt;0),225,"")</f>
        <v>225</v>
      </c>
      <c r="B231" s="4">
        <f>IF(A231="","",IF('Loan Inputs'!$B$14=12,DATE(YEAR('Loan Inputs'!$B$8),MONTH('Loan Inputs'!$B$8)+A231,DAY('Loan Inputs'!$B$8)),'Loan Inputs'!$B$8+A231*IF('Loan Inputs'!$B$14=26,14,7)))</f>
        <v>53175</v>
      </c>
      <c r="C231" s="2">
        <f t="shared" si="11"/>
        <v>284995.63258569449</v>
      </c>
      <c r="D231" s="2">
        <f>IF(A231="","",MIN('Loan Inputs'!$B$17,C231+E231)+H231)</f>
        <v>4311.533367807353</v>
      </c>
      <c r="E231" s="2">
        <f>IF(A231="","",C231*'Loan Inputs'!$B$15)</f>
        <v>1517.601743518823</v>
      </c>
      <c r="F231" s="2">
        <f t="shared" si="9"/>
        <v>2793.9316242885297</v>
      </c>
      <c r="G231" s="2">
        <f t="shared" si="10"/>
        <v>282201.70096140594</v>
      </c>
      <c r="H231" s="2">
        <f>IF(A231="","",MIN('Loan Inputs'!$B$18,MAX(0,C231+E231-'Loan Inputs'!$B$17)))</f>
        <v>250</v>
      </c>
    </row>
    <row r="232" spans="1:8" ht="22" customHeight="1">
      <c r="A232" s="1">
        <f>IF(AND('Loan Inputs'!$B$12,226&lt;=IF('Loan Inputs'!$B$12,'Loan Inputs'!$B$7,0)*'Loan Inputs'!$B$14+5*'Loan Inputs'!$B$14,ISNUMBER(G231),G231&gt;0),226,"")</f>
        <v>226</v>
      </c>
      <c r="B232" s="4">
        <f>IF(A232="","",IF('Loan Inputs'!$B$14=12,DATE(YEAR('Loan Inputs'!$B$8),MONTH('Loan Inputs'!$B$8)+A232,DAY('Loan Inputs'!$B$8)),'Loan Inputs'!$B$8+A232*IF('Loan Inputs'!$B$14=26,14,7)))</f>
        <v>53206</v>
      </c>
      <c r="C232" s="2">
        <f t="shared" si="11"/>
        <v>282201.70096140594</v>
      </c>
      <c r="D232" s="2">
        <f>IF(A232="","",MIN('Loan Inputs'!$B$17,C232+E232)+H232)</f>
        <v>4311.533367807353</v>
      </c>
      <c r="E232" s="2">
        <f>IF(A232="","",C232*'Loan Inputs'!$B$15)</f>
        <v>1502.7240576194865</v>
      </c>
      <c r="F232" s="2">
        <f t="shared" si="9"/>
        <v>2808.8093101878667</v>
      </c>
      <c r="G232" s="2">
        <f t="shared" si="10"/>
        <v>279392.89165121806</v>
      </c>
      <c r="H232" s="2">
        <f>IF(A232="","",MIN('Loan Inputs'!$B$18,MAX(0,C232+E232-'Loan Inputs'!$B$17)))</f>
        <v>250</v>
      </c>
    </row>
    <row r="233" spans="1:8" ht="22" customHeight="1">
      <c r="A233" s="1">
        <f>IF(AND('Loan Inputs'!$B$12,227&lt;=IF('Loan Inputs'!$B$12,'Loan Inputs'!$B$7,0)*'Loan Inputs'!$B$14+5*'Loan Inputs'!$B$14,ISNUMBER(G232),G232&gt;0),227,"")</f>
        <v>227</v>
      </c>
      <c r="B233" s="4">
        <f>IF(A233="","",IF('Loan Inputs'!$B$14=12,DATE(YEAR('Loan Inputs'!$B$8),MONTH('Loan Inputs'!$B$8)+A233,DAY('Loan Inputs'!$B$8)),'Loan Inputs'!$B$8+A233*IF('Loan Inputs'!$B$14=26,14,7)))</f>
        <v>53236</v>
      </c>
      <c r="C233" s="2">
        <f t="shared" si="11"/>
        <v>279392.89165121806</v>
      </c>
      <c r="D233" s="2">
        <f>IF(A233="","",MIN('Loan Inputs'!$B$17,C233+E233)+H233)</f>
        <v>4311.533367807353</v>
      </c>
      <c r="E233" s="2">
        <f>IF(A233="","",C233*'Loan Inputs'!$B$15)</f>
        <v>1487.7671480427362</v>
      </c>
      <c r="F233" s="2">
        <f t="shared" si="9"/>
        <v>2823.7662197646168</v>
      </c>
      <c r="G233" s="2">
        <f t="shared" si="10"/>
        <v>276569.12543145346</v>
      </c>
      <c r="H233" s="2">
        <f>IF(A233="","",MIN('Loan Inputs'!$B$18,MAX(0,C233+E233-'Loan Inputs'!$B$17)))</f>
        <v>250</v>
      </c>
    </row>
    <row r="234" spans="1:8" ht="22" customHeight="1">
      <c r="A234" s="1">
        <f>IF(AND('Loan Inputs'!$B$12,228&lt;=IF('Loan Inputs'!$B$12,'Loan Inputs'!$B$7,0)*'Loan Inputs'!$B$14+5*'Loan Inputs'!$B$14,ISNUMBER(G233),G233&gt;0),228,"")</f>
        <v>228</v>
      </c>
      <c r="B234" s="4">
        <f>IF(A234="","",IF('Loan Inputs'!$B$14=12,DATE(YEAR('Loan Inputs'!$B$8),MONTH('Loan Inputs'!$B$8)+A234,DAY('Loan Inputs'!$B$8)),'Loan Inputs'!$B$8+A234*IF('Loan Inputs'!$B$14=26,14,7)))</f>
        <v>53267</v>
      </c>
      <c r="C234" s="2">
        <f t="shared" si="11"/>
        <v>276569.12543145346</v>
      </c>
      <c r="D234" s="2">
        <f>IF(A234="","",MIN('Loan Inputs'!$B$17,C234+E234)+H234)</f>
        <v>4311.533367807353</v>
      </c>
      <c r="E234" s="2">
        <f>IF(A234="","",C234*'Loan Inputs'!$B$15)</f>
        <v>1472.7305929224897</v>
      </c>
      <c r="F234" s="2">
        <f t="shared" si="9"/>
        <v>2838.8027748848635</v>
      </c>
      <c r="G234" s="2">
        <f t="shared" si="10"/>
        <v>273730.32265656861</v>
      </c>
      <c r="H234" s="2">
        <f>IF(A234="","",MIN('Loan Inputs'!$B$18,MAX(0,C234+E234-'Loan Inputs'!$B$17)))</f>
        <v>250</v>
      </c>
    </row>
    <row r="235" spans="1:8" ht="22" customHeight="1">
      <c r="A235" s="1">
        <f>IF(AND('Loan Inputs'!$B$12,229&lt;=IF('Loan Inputs'!$B$12,'Loan Inputs'!$B$7,0)*'Loan Inputs'!$B$14+5*'Loan Inputs'!$B$14,ISNUMBER(G234),G234&gt;0),229,"")</f>
        <v>229</v>
      </c>
      <c r="B235" s="4">
        <f>IF(A235="","",IF('Loan Inputs'!$B$14=12,DATE(YEAR('Loan Inputs'!$B$8),MONTH('Loan Inputs'!$B$8)+A235,DAY('Loan Inputs'!$B$8)),'Loan Inputs'!$B$8+A235*IF('Loan Inputs'!$B$14=26,14,7)))</f>
        <v>53297</v>
      </c>
      <c r="C235" s="2">
        <f t="shared" si="11"/>
        <v>273730.32265656861</v>
      </c>
      <c r="D235" s="2">
        <f>IF(A235="","",MIN('Loan Inputs'!$B$17,C235+E235)+H235)</f>
        <v>4311.533367807353</v>
      </c>
      <c r="E235" s="2">
        <f>IF(A235="","",C235*'Loan Inputs'!$B$15)</f>
        <v>1457.6139681462278</v>
      </c>
      <c r="F235" s="2">
        <f t="shared" si="9"/>
        <v>2853.9193996611252</v>
      </c>
      <c r="G235" s="2">
        <f t="shared" si="10"/>
        <v>270876.40325690748</v>
      </c>
      <c r="H235" s="2">
        <f>IF(A235="","",MIN('Loan Inputs'!$B$18,MAX(0,C235+E235-'Loan Inputs'!$B$17)))</f>
        <v>250</v>
      </c>
    </row>
    <row r="236" spans="1:8" ht="22" customHeight="1">
      <c r="A236" s="1">
        <f>IF(AND('Loan Inputs'!$B$12,230&lt;=IF('Loan Inputs'!$B$12,'Loan Inputs'!$B$7,0)*'Loan Inputs'!$B$14+5*'Loan Inputs'!$B$14,ISNUMBER(G235),G235&gt;0),230,"")</f>
        <v>230</v>
      </c>
      <c r="B236" s="4">
        <f>IF(A236="","",IF('Loan Inputs'!$B$14=12,DATE(YEAR('Loan Inputs'!$B$8),MONTH('Loan Inputs'!$B$8)+A236,DAY('Loan Inputs'!$B$8)),'Loan Inputs'!$B$8+A236*IF('Loan Inputs'!$B$14=26,14,7)))</f>
        <v>53328</v>
      </c>
      <c r="C236" s="2">
        <f t="shared" si="11"/>
        <v>270876.40325690748</v>
      </c>
      <c r="D236" s="2">
        <f>IF(A236="","",MIN('Loan Inputs'!$B$17,C236+E236)+H236)</f>
        <v>4311.533367807353</v>
      </c>
      <c r="E236" s="2">
        <f>IF(A236="","",C236*'Loan Inputs'!$B$15)</f>
        <v>1442.4168473430323</v>
      </c>
      <c r="F236" s="2">
        <f t="shared" si="9"/>
        <v>2869.1165204643207</v>
      </c>
      <c r="G236" s="2">
        <f t="shared" si="10"/>
        <v>268007.28673644317</v>
      </c>
      <c r="H236" s="2">
        <f>IF(A236="","",MIN('Loan Inputs'!$B$18,MAX(0,C236+E236-'Loan Inputs'!$B$17)))</f>
        <v>250</v>
      </c>
    </row>
    <row r="237" spans="1:8" ht="22" customHeight="1">
      <c r="A237" s="1">
        <f>IF(AND('Loan Inputs'!$B$12,231&lt;=IF('Loan Inputs'!$B$12,'Loan Inputs'!$B$7,0)*'Loan Inputs'!$B$14+5*'Loan Inputs'!$B$14,ISNUMBER(G236),G236&gt;0),231,"")</f>
        <v>231</v>
      </c>
      <c r="B237" s="4">
        <f>IF(A237="","",IF('Loan Inputs'!$B$14=12,DATE(YEAR('Loan Inputs'!$B$8),MONTH('Loan Inputs'!$B$8)+A237,DAY('Loan Inputs'!$B$8)),'Loan Inputs'!$B$8+A237*IF('Loan Inputs'!$B$14=26,14,7)))</f>
        <v>53359</v>
      </c>
      <c r="C237" s="2">
        <f t="shared" si="11"/>
        <v>268007.28673644317</v>
      </c>
      <c r="D237" s="2">
        <f>IF(A237="","",MIN('Loan Inputs'!$B$17,C237+E237)+H237)</f>
        <v>4311.533367807353</v>
      </c>
      <c r="E237" s="2">
        <f>IF(A237="","",C237*'Loan Inputs'!$B$15)</f>
        <v>1427.13880187156</v>
      </c>
      <c r="F237" s="2">
        <f t="shared" si="9"/>
        <v>2884.3945659357933</v>
      </c>
      <c r="G237" s="2">
        <f t="shared" si="10"/>
        <v>265122.8921705074</v>
      </c>
      <c r="H237" s="2">
        <f>IF(A237="","",MIN('Loan Inputs'!$B$18,MAX(0,C237+E237-'Loan Inputs'!$B$17)))</f>
        <v>250</v>
      </c>
    </row>
    <row r="238" spans="1:8" ht="22" customHeight="1">
      <c r="A238" s="1">
        <f>IF(AND('Loan Inputs'!$B$12,232&lt;=IF('Loan Inputs'!$B$12,'Loan Inputs'!$B$7,0)*'Loan Inputs'!$B$14+5*'Loan Inputs'!$B$14,ISNUMBER(G237),G237&gt;0),232,"")</f>
        <v>232</v>
      </c>
      <c r="B238" s="4">
        <f>IF(A238="","",IF('Loan Inputs'!$B$14=12,DATE(YEAR('Loan Inputs'!$B$8),MONTH('Loan Inputs'!$B$8)+A238,DAY('Loan Inputs'!$B$8)),'Loan Inputs'!$B$8+A238*IF('Loan Inputs'!$B$14=26,14,7)))</f>
        <v>53387</v>
      </c>
      <c r="C238" s="2">
        <f t="shared" si="11"/>
        <v>265122.8921705074</v>
      </c>
      <c r="D238" s="2">
        <f>IF(A238="","",MIN('Loan Inputs'!$B$17,C238+E238)+H238)</f>
        <v>4311.533367807353</v>
      </c>
      <c r="E238" s="2">
        <f>IF(A238="","",C238*'Loan Inputs'!$B$15)</f>
        <v>1411.7794008079518</v>
      </c>
      <c r="F238" s="2">
        <f t="shared" si="9"/>
        <v>2899.7539669994012</v>
      </c>
      <c r="G238" s="2">
        <f t="shared" si="10"/>
        <v>262223.13820350799</v>
      </c>
      <c r="H238" s="2">
        <f>IF(A238="","",MIN('Loan Inputs'!$B$18,MAX(0,C238+E238-'Loan Inputs'!$B$17)))</f>
        <v>250</v>
      </c>
    </row>
    <row r="239" spans="1:8" ht="22" customHeight="1">
      <c r="A239" s="1">
        <f>IF(AND('Loan Inputs'!$B$12,233&lt;=IF('Loan Inputs'!$B$12,'Loan Inputs'!$B$7,0)*'Loan Inputs'!$B$14+5*'Loan Inputs'!$B$14,ISNUMBER(G238),G238&gt;0),233,"")</f>
        <v>233</v>
      </c>
      <c r="B239" s="4">
        <f>IF(A239="","",IF('Loan Inputs'!$B$14=12,DATE(YEAR('Loan Inputs'!$B$8),MONTH('Loan Inputs'!$B$8)+A239,DAY('Loan Inputs'!$B$8)),'Loan Inputs'!$B$8+A239*IF('Loan Inputs'!$B$14=26,14,7)))</f>
        <v>53418</v>
      </c>
      <c r="C239" s="2">
        <f t="shared" si="11"/>
        <v>262223.13820350799</v>
      </c>
      <c r="D239" s="2">
        <f>IF(A239="","",MIN('Loan Inputs'!$B$17,C239+E239)+H239)</f>
        <v>4311.533367807353</v>
      </c>
      <c r="E239" s="2">
        <f>IF(A239="","",C239*'Loan Inputs'!$B$15)</f>
        <v>1396.3382109336801</v>
      </c>
      <c r="F239" s="2">
        <f t="shared" si="9"/>
        <v>2915.1951568736731</v>
      </c>
      <c r="G239" s="2">
        <f t="shared" si="10"/>
        <v>259307.94304663432</v>
      </c>
      <c r="H239" s="2">
        <f>IF(A239="","",MIN('Loan Inputs'!$B$18,MAX(0,C239+E239-'Loan Inputs'!$B$17)))</f>
        <v>250</v>
      </c>
    </row>
    <row r="240" spans="1:8" ht="22" customHeight="1">
      <c r="A240" s="1">
        <f>IF(AND('Loan Inputs'!$B$12,234&lt;=IF('Loan Inputs'!$B$12,'Loan Inputs'!$B$7,0)*'Loan Inputs'!$B$14+5*'Loan Inputs'!$B$14,ISNUMBER(G239),G239&gt;0),234,"")</f>
        <v>234</v>
      </c>
      <c r="B240" s="4">
        <f>IF(A240="","",IF('Loan Inputs'!$B$14=12,DATE(YEAR('Loan Inputs'!$B$8),MONTH('Loan Inputs'!$B$8)+A240,DAY('Loan Inputs'!$B$8)),'Loan Inputs'!$B$8+A240*IF('Loan Inputs'!$B$14=26,14,7)))</f>
        <v>53448</v>
      </c>
      <c r="C240" s="2">
        <f t="shared" si="11"/>
        <v>259307.94304663432</v>
      </c>
      <c r="D240" s="2">
        <f>IF(A240="","",MIN('Loan Inputs'!$B$17,C240+E240)+H240)</f>
        <v>4311.533367807353</v>
      </c>
      <c r="E240" s="2">
        <f>IF(A240="","",C240*'Loan Inputs'!$B$15)</f>
        <v>1380.8147967233276</v>
      </c>
      <c r="F240" s="2">
        <f t="shared" si="9"/>
        <v>2930.7185710840254</v>
      </c>
      <c r="G240" s="2">
        <f t="shared" si="10"/>
        <v>256377.22447555029</v>
      </c>
      <c r="H240" s="2">
        <f>IF(A240="","",MIN('Loan Inputs'!$B$18,MAX(0,C240+E240-'Loan Inputs'!$B$17)))</f>
        <v>250</v>
      </c>
    </row>
    <row r="241" spans="1:8" ht="22" customHeight="1">
      <c r="A241" s="1">
        <f>IF(AND('Loan Inputs'!$B$12,235&lt;=IF('Loan Inputs'!$B$12,'Loan Inputs'!$B$7,0)*'Loan Inputs'!$B$14+5*'Loan Inputs'!$B$14,ISNUMBER(G240),G240&gt;0),235,"")</f>
        <v>235</v>
      </c>
      <c r="B241" s="4">
        <f>IF(A241="","",IF('Loan Inputs'!$B$14=12,DATE(YEAR('Loan Inputs'!$B$8),MONTH('Loan Inputs'!$B$8)+A241,DAY('Loan Inputs'!$B$8)),'Loan Inputs'!$B$8+A241*IF('Loan Inputs'!$B$14=26,14,7)))</f>
        <v>53479</v>
      </c>
      <c r="C241" s="2">
        <f t="shared" si="11"/>
        <v>256377.22447555029</v>
      </c>
      <c r="D241" s="2">
        <f>IF(A241="","",MIN('Loan Inputs'!$B$17,C241+E241)+H241)</f>
        <v>4311.533367807353</v>
      </c>
      <c r="E241" s="2">
        <f>IF(A241="","",C241*'Loan Inputs'!$B$15)</f>
        <v>1365.2087203323053</v>
      </c>
      <c r="F241" s="2">
        <f t="shared" si="9"/>
        <v>2946.3246474750476</v>
      </c>
      <c r="G241" s="2">
        <f t="shared" si="10"/>
        <v>253430.89982807526</v>
      </c>
      <c r="H241" s="2">
        <f>IF(A241="","",MIN('Loan Inputs'!$B$18,MAX(0,C241+E241-'Loan Inputs'!$B$17)))</f>
        <v>250</v>
      </c>
    </row>
    <row r="242" spans="1:8" ht="22" customHeight="1">
      <c r="A242" s="1">
        <f>IF(AND('Loan Inputs'!$B$12,236&lt;=IF('Loan Inputs'!$B$12,'Loan Inputs'!$B$7,0)*'Loan Inputs'!$B$14+5*'Loan Inputs'!$B$14,ISNUMBER(G241),G241&gt;0),236,"")</f>
        <v>236</v>
      </c>
      <c r="B242" s="4">
        <f>IF(A242="","",IF('Loan Inputs'!$B$14=12,DATE(YEAR('Loan Inputs'!$B$8),MONTH('Loan Inputs'!$B$8)+A242,DAY('Loan Inputs'!$B$8)),'Loan Inputs'!$B$8+A242*IF('Loan Inputs'!$B$14=26,14,7)))</f>
        <v>53509</v>
      </c>
      <c r="C242" s="2">
        <f t="shared" si="11"/>
        <v>253430.89982807526</v>
      </c>
      <c r="D242" s="2">
        <f>IF(A242="","",MIN('Loan Inputs'!$B$17,C242+E242)+H242)</f>
        <v>4311.533367807353</v>
      </c>
      <c r="E242" s="2">
        <f>IF(A242="","",C242*'Loan Inputs'!$B$15)</f>
        <v>1349.5195415845008</v>
      </c>
      <c r="F242" s="2">
        <f t="shared" si="9"/>
        <v>2962.013826222852</v>
      </c>
      <c r="G242" s="2">
        <f t="shared" si="10"/>
        <v>250468.8860018524</v>
      </c>
      <c r="H242" s="2">
        <f>IF(A242="","",MIN('Loan Inputs'!$B$18,MAX(0,C242+E242-'Loan Inputs'!$B$17)))</f>
        <v>250</v>
      </c>
    </row>
    <row r="243" spans="1:8" ht="22" customHeight="1">
      <c r="A243" s="1">
        <f>IF(AND('Loan Inputs'!$B$12,237&lt;=IF('Loan Inputs'!$B$12,'Loan Inputs'!$B$7,0)*'Loan Inputs'!$B$14+5*'Loan Inputs'!$B$14,ISNUMBER(G242),G242&gt;0),237,"")</f>
        <v>237</v>
      </c>
      <c r="B243" s="4">
        <f>IF(A243="","",IF('Loan Inputs'!$B$14=12,DATE(YEAR('Loan Inputs'!$B$8),MONTH('Loan Inputs'!$B$8)+A243,DAY('Loan Inputs'!$B$8)),'Loan Inputs'!$B$8+A243*IF('Loan Inputs'!$B$14=26,14,7)))</f>
        <v>53540</v>
      </c>
      <c r="C243" s="2">
        <f t="shared" si="11"/>
        <v>250468.8860018524</v>
      </c>
      <c r="D243" s="2">
        <f>IF(A243="","",MIN('Loan Inputs'!$B$17,C243+E243)+H243)</f>
        <v>4311.533367807353</v>
      </c>
      <c r="E243" s="2">
        <f>IF(A243="","",C243*'Loan Inputs'!$B$15)</f>
        <v>1333.7468179598641</v>
      </c>
      <c r="F243" s="2">
        <f t="shared" si="9"/>
        <v>2977.7865498474889</v>
      </c>
      <c r="G243" s="2">
        <f t="shared" si="10"/>
        <v>247491.09945200491</v>
      </c>
      <c r="H243" s="2">
        <f>IF(A243="","",MIN('Loan Inputs'!$B$18,MAX(0,C243+E243-'Loan Inputs'!$B$17)))</f>
        <v>250</v>
      </c>
    </row>
    <row r="244" spans="1:8" ht="22" customHeight="1">
      <c r="A244" s="1">
        <f>IF(AND('Loan Inputs'!$B$12,238&lt;=IF('Loan Inputs'!$B$12,'Loan Inputs'!$B$7,0)*'Loan Inputs'!$B$14+5*'Loan Inputs'!$B$14,ISNUMBER(G243),G243&gt;0),238,"")</f>
        <v>238</v>
      </c>
      <c r="B244" s="4">
        <f>IF(A244="","",IF('Loan Inputs'!$B$14=12,DATE(YEAR('Loan Inputs'!$B$8),MONTH('Loan Inputs'!$B$8)+A244,DAY('Loan Inputs'!$B$8)),'Loan Inputs'!$B$8+A244*IF('Loan Inputs'!$B$14=26,14,7)))</f>
        <v>53571</v>
      </c>
      <c r="C244" s="2">
        <f t="shared" si="11"/>
        <v>247491.09945200491</v>
      </c>
      <c r="D244" s="2">
        <f>IF(A244="","",MIN('Loan Inputs'!$B$17,C244+E244)+H244)</f>
        <v>4311.533367807353</v>
      </c>
      <c r="E244" s="2">
        <f>IF(A244="","",C244*'Loan Inputs'!$B$15)</f>
        <v>1317.8901045819262</v>
      </c>
      <c r="F244" s="2">
        <f t="shared" si="9"/>
        <v>2993.6432632254268</v>
      </c>
      <c r="G244" s="2">
        <f t="shared" si="10"/>
        <v>244497.4561887795</v>
      </c>
      <c r="H244" s="2">
        <f>IF(A244="","",MIN('Loan Inputs'!$B$18,MAX(0,C244+E244-'Loan Inputs'!$B$17)))</f>
        <v>250</v>
      </c>
    </row>
    <row r="245" spans="1:8" ht="22" customHeight="1">
      <c r="A245" s="1">
        <f>IF(AND('Loan Inputs'!$B$12,239&lt;=IF('Loan Inputs'!$B$12,'Loan Inputs'!$B$7,0)*'Loan Inputs'!$B$14+5*'Loan Inputs'!$B$14,ISNUMBER(G244),G244&gt;0),239,"")</f>
        <v>239</v>
      </c>
      <c r="B245" s="4">
        <f>IF(A245="","",IF('Loan Inputs'!$B$14=12,DATE(YEAR('Loan Inputs'!$B$8),MONTH('Loan Inputs'!$B$8)+A245,DAY('Loan Inputs'!$B$8)),'Loan Inputs'!$B$8+A245*IF('Loan Inputs'!$B$14=26,14,7)))</f>
        <v>53601</v>
      </c>
      <c r="C245" s="2">
        <f t="shared" si="11"/>
        <v>244497.4561887795</v>
      </c>
      <c r="D245" s="2">
        <f>IF(A245="","",MIN('Loan Inputs'!$B$17,C245+E245)+H245)</f>
        <v>4311.533367807353</v>
      </c>
      <c r="E245" s="2">
        <f>IF(A245="","",C245*'Loan Inputs'!$B$15)</f>
        <v>1301.9489542052509</v>
      </c>
      <c r="F245" s="2">
        <f t="shared" si="9"/>
        <v>3009.5844136021024</v>
      </c>
      <c r="G245" s="2">
        <f t="shared" si="10"/>
        <v>241487.87177517739</v>
      </c>
      <c r="H245" s="2">
        <f>IF(A245="","",MIN('Loan Inputs'!$B$18,MAX(0,C245+E245-'Loan Inputs'!$B$17)))</f>
        <v>250</v>
      </c>
    </row>
    <row r="246" spans="1:8" ht="22" customHeight="1">
      <c r="A246" s="1">
        <f>IF(AND('Loan Inputs'!$B$12,240&lt;=IF('Loan Inputs'!$B$12,'Loan Inputs'!$B$7,0)*'Loan Inputs'!$B$14+5*'Loan Inputs'!$B$14,ISNUMBER(G245),G245&gt;0),240,"")</f>
        <v>240</v>
      </c>
      <c r="B246" s="4">
        <f>IF(A246="","",IF('Loan Inputs'!$B$14=12,DATE(YEAR('Loan Inputs'!$B$8),MONTH('Loan Inputs'!$B$8)+A246,DAY('Loan Inputs'!$B$8)),'Loan Inputs'!$B$8+A246*IF('Loan Inputs'!$B$14=26,14,7)))</f>
        <v>53632</v>
      </c>
      <c r="C246" s="2">
        <f t="shared" si="11"/>
        <v>241487.87177517739</v>
      </c>
      <c r="D246" s="2">
        <f>IF(A246="","",MIN('Loan Inputs'!$B$17,C246+E246)+H246)</f>
        <v>4311.533367807353</v>
      </c>
      <c r="E246" s="2">
        <f>IF(A246="","",C246*'Loan Inputs'!$B$15)</f>
        <v>1285.9229172028197</v>
      </c>
      <c r="F246" s="2">
        <f t="shared" si="9"/>
        <v>3025.6104506045331</v>
      </c>
      <c r="G246" s="2">
        <f t="shared" si="10"/>
        <v>238462.26132457287</v>
      </c>
      <c r="H246" s="2">
        <f>IF(A246="","",MIN('Loan Inputs'!$B$18,MAX(0,C246+E246-'Loan Inputs'!$B$17)))</f>
        <v>250</v>
      </c>
    </row>
    <row r="247" spans="1:8" ht="22" customHeight="1">
      <c r="A247" s="1">
        <f>IF(AND('Loan Inputs'!$B$12,241&lt;=IF('Loan Inputs'!$B$12,'Loan Inputs'!$B$7,0)*'Loan Inputs'!$B$14+5*'Loan Inputs'!$B$14,ISNUMBER(G246),G246&gt;0),241,"")</f>
        <v>241</v>
      </c>
      <c r="B247" s="4">
        <f>IF(A247="","",IF('Loan Inputs'!$B$14=12,DATE(YEAR('Loan Inputs'!$B$8),MONTH('Loan Inputs'!$B$8)+A247,DAY('Loan Inputs'!$B$8)),'Loan Inputs'!$B$8+A247*IF('Loan Inputs'!$B$14=26,14,7)))</f>
        <v>53662</v>
      </c>
      <c r="C247" s="2">
        <f t="shared" si="11"/>
        <v>238462.26132457287</v>
      </c>
      <c r="D247" s="2">
        <f>IF(A247="","",MIN('Loan Inputs'!$B$17,C247+E247)+H247)</f>
        <v>4311.533367807353</v>
      </c>
      <c r="E247" s="2">
        <f>IF(A247="","",C247*'Loan Inputs'!$B$15)</f>
        <v>1269.8115415533505</v>
      </c>
      <c r="F247" s="2">
        <f t="shared" si="9"/>
        <v>3041.7218262540027</v>
      </c>
      <c r="G247" s="2">
        <f t="shared" si="10"/>
        <v>235420.53949831886</v>
      </c>
      <c r="H247" s="2">
        <f>IF(A247="","",MIN('Loan Inputs'!$B$18,MAX(0,C247+E247-'Loan Inputs'!$B$17)))</f>
        <v>250</v>
      </c>
    </row>
    <row r="248" spans="1:8" ht="22" customHeight="1">
      <c r="A248" s="1">
        <f>IF(AND('Loan Inputs'!$B$12,242&lt;=IF('Loan Inputs'!$B$12,'Loan Inputs'!$B$7,0)*'Loan Inputs'!$B$14+5*'Loan Inputs'!$B$14,ISNUMBER(G247),G247&gt;0),242,"")</f>
        <v>242</v>
      </c>
      <c r="B248" s="4">
        <f>IF(A248="","",IF('Loan Inputs'!$B$14=12,DATE(YEAR('Loan Inputs'!$B$8),MONTH('Loan Inputs'!$B$8)+A248,DAY('Loan Inputs'!$B$8)),'Loan Inputs'!$B$8+A248*IF('Loan Inputs'!$B$14=26,14,7)))</f>
        <v>53693</v>
      </c>
      <c r="C248" s="2">
        <f t="shared" si="11"/>
        <v>235420.53949831886</v>
      </c>
      <c r="D248" s="2">
        <f>IF(A248="","",MIN('Loan Inputs'!$B$17,C248+E248)+H248)</f>
        <v>4311.533367807353</v>
      </c>
      <c r="E248" s="2">
        <f>IF(A248="","",C248*'Loan Inputs'!$B$15)</f>
        <v>1253.6143728285479</v>
      </c>
      <c r="F248" s="2">
        <f t="shared" si="9"/>
        <v>3057.9189949788051</v>
      </c>
      <c r="G248" s="2">
        <f t="shared" si="10"/>
        <v>232362.62050334006</v>
      </c>
      <c r="H248" s="2">
        <f>IF(A248="","",MIN('Loan Inputs'!$B$18,MAX(0,C248+E248-'Loan Inputs'!$B$17)))</f>
        <v>250</v>
      </c>
    </row>
    <row r="249" spans="1:8" ht="22" customHeight="1">
      <c r="A249" s="1">
        <f>IF(AND('Loan Inputs'!$B$12,243&lt;=IF('Loan Inputs'!$B$12,'Loan Inputs'!$B$7,0)*'Loan Inputs'!$B$14+5*'Loan Inputs'!$B$14,ISNUMBER(G248),G248&gt;0),243,"")</f>
        <v>243</v>
      </c>
      <c r="B249" s="4">
        <f>IF(A249="","",IF('Loan Inputs'!$B$14=12,DATE(YEAR('Loan Inputs'!$B$8),MONTH('Loan Inputs'!$B$8)+A249,DAY('Loan Inputs'!$B$8)),'Loan Inputs'!$B$8+A249*IF('Loan Inputs'!$B$14=26,14,7)))</f>
        <v>53724</v>
      </c>
      <c r="C249" s="2">
        <f t="shared" si="11"/>
        <v>232362.62050334006</v>
      </c>
      <c r="D249" s="2">
        <f>IF(A249="","",MIN('Loan Inputs'!$B$17,C249+E249)+H249)</f>
        <v>4311.533367807353</v>
      </c>
      <c r="E249" s="2">
        <f>IF(A249="","",C249*'Loan Inputs'!$B$15)</f>
        <v>1237.3309541802857</v>
      </c>
      <c r="F249" s="2">
        <f t="shared" si="9"/>
        <v>3074.2024136270675</v>
      </c>
      <c r="G249" s="2">
        <f t="shared" si="10"/>
        <v>229288.418089713</v>
      </c>
      <c r="H249" s="2">
        <f>IF(A249="","",MIN('Loan Inputs'!$B$18,MAX(0,C249+E249-'Loan Inputs'!$B$17)))</f>
        <v>250</v>
      </c>
    </row>
    <row r="250" spans="1:8" ht="22" customHeight="1">
      <c r="A250" s="1">
        <f>IF(AND('Loan Inputs'!$B$12,244&lt;=IF('Loan Inputs'!$B$12,'Loan Inputs'!$B$7,0)*'Loan Inputs'!$B$14+5*'Loan Inputs'!$B$14,ISNUMBER(G249),G249&gt;0),244,"")</f>
        <v>244</v>
      </c>
      <c r="B250" s="4">
        <f>IF(A250="","",IF('Loan Inputs'!$B$14=12,DATE(YEAR('Loan Inputs'!$B$8),MONTH('Loan Inputs'!$B$8)+A250,DAY('Loan Inputs'!$B$8)),'Loan Inputs'!$B$8+A250*IF('Loan Inputs'!$B$14=26,14,7)))</f>
        <v>53752</v>
      </c>
      <c r="C250" s="2">
        <f t="shared" si="11"/>
        <v>229288.418089713</v>
      </c>
      <c r="D250" s="2">
        <f>IF(A250="","",MIN('Loan Inputs'!$B$17,C250+E250)+H250)</f>
        <v>4311.533367807353</v>
      </c>
      <c r="E250" s="2">
        <f>IF(A250="","",C250*'Loan Inputs'!$B$15)</f>
        <v>1220.9608263277216</v>
      </c>
      <c r="F250" s="2">
        <f t="shared" si="9"/>
        <v>3090.5725414796316</v>
      </c>
      <c r="G250" s="2">
        <f t="shared" si="10"/>
        <v>226197.84554823337</v>
      </c>
      <c r="H250" s="2">
        <f>IF(A250="","",MIN('Loan Inputs'!$B$18,MAX(0,C250+E250-'Loan Inputs'!$B$17)))</f>
        <v>250</v>
      </c>
    </row>
    <row r="251" spans="1:8" ht="22" customHeight="1">
      <c r="A251" s="1">
        <f>IF(AND('Loan Inputs'!$B$12,245&lt;=IF('Loan Inputs'!$B$12,'Loan Inputs'!$B$7,0)*'Loan Inputs'!$B$14+5*'Loan Inputs'!$B$14,ISNUMBER(G250),G250&gt;0),245,"")</f>
        <v>245</v>
      </c>
      <c r="B251" s="4">
        <f>IF(A251="","",IF('Loan Inputs'!$B$14=12,DATE(YEAR('Loan Inputs'!$B$8),MONTH('Loan Inputs'!$B$8)+A251,DAY('Loan Inputs'!$B$8)),'Loan Inputs'!$B$8+A251*IF('Loan Inputs'!$B$14=26,14,7)))</f>
        <v>53783</v>
      </c>
      <c r="C251" s="2">
        <f t="shared" si="11"/>
        <v>226197.84554823337</v>
      </c>
      <c r="D251" s="2">
        <f>IF(A251="","",MIN('Loan Inputs'!$B$17,C251+E251)+H251)</f>
        <v>4311.533367807353</v>
      </c>
      <c r="E251" s="2">
        <f>IF(A251="","",C251*'Loan Inputs'!$B$15)</f>
        <v>1204.5035275443427</v>
      </c>
      <c r="F251" s="2">
        <f t="shared" si="9"/>
        <v>3107.0298402630106</v>
      </c>
      <c r="G251" s="2">
        <f t="shared" si="10"/>
        <v>223090.81570797035</v>
      </c>
      <c r="H251" s="2">
        <f>IF(A251="","",MIN('Loan Inputs'!$B$18,MAX(0,C251+E251-'Loan Inputs'!$B$17)))</f>
        <v>250</v>
      </c>
    </row>
    <row r="252" spans="1:8" ht="22" customHeight="1">
      <c r="A252" s="1">
        <f>IF(AND('Loan Inputs'!$B$12,246&lt;=IF('Loan Inputs'!$B$12,'Loan Inputs'!$B$7,0)*'Loan Inputs'!$B$14+5*'Loan Inputs'!$B$14,ISNUMBER(G251),G251&gt;0),246,"")</f>
        <v>246</v>
      </c>
      <c r="B252" s="4">
        <f>IF(A252="","",IF('Loan Inputs'!$B$14=12,DATE(YEAR('Loan Inputs'!$B$8),MONTH('Loan Inputs'!$B$8)+A252,DAY('Loan Inputs'!$B$8)),'Loan Inputs'!$B$8+A252*IF('Loan Inputs'!$B$14=26,14,7)))</f>
        <v>53813</v>
      </c>
      <c r="C252" s="2">
        <f t="shared" si="11"/>
        <v>223090.81570797035</v>
      </c>
      <c r="D252" s="2">
        <f>IF(A252="","",MIN('Loan Inputs'!$B$17,C252+E252)+H252)</f>
        <v>4311.533367807353</v>
      </c>
      <c r="E252" s="2">
        <f>IF(A252="","",C252*'Loan Inputs'!$B$15)</f>
        <v>1187.9585936449421</v>
      </c>
      <c r="F252" s="2">
        <f t="shared" si="9"/>
        <v>3123.5747741624109</v>
      </c>
      <c r="G252" s="2">
        <f t="shared" si="10"/>
        <v>219967.24093380795</v>
      </c>
      <c r="H252" s="2">
        <f>IF(A252="","",MIN('Loan Inputs'!$B$18,MAX(0,C252+E252-'Loan Inputs'!$B$17)))</f>
        <v>250</v>
      </c>
    </row>
    <row r="253" spans="1:8" ht="22" customHeight="1">
      <c r="A253" s="1">
        <f>IF(AND('Loan Inputs'!$B$12,247&lt;=IF('Loan Inputs'!$B$12,'Loan Inputs'!$B$7,0)*'Loan Inputs'!$B$14+5*'Loan Inputs'!$B$14,ISNUMBER(G252),G252&gt;0),247,"")</f>
        <v>247</v>
      </c>
      <c r="B253" s="4">
        <f>IF(A253="","",IF('Loan Inputs'!$B$14=12,DATE(YEAR('Loan Inputs'!$B$8),MONTH('Loan Inputs'!$B$8)+A253,DAY('Loan Inputs'!$B$8)),'Loan Inputs'!$B$8+A253*IF('Loan Inputs'!$B$14=26,14,7)))</f>
        <v>53844</v>
      </c>
      <c r="C253" s="2">
        <f t="shared" si="11"/>
        <v>219967.24093380795</v>
      </c>
      <c r="D253" s="2">
        <f>IF(A253="","",MIN('Loan Inputs'!$B$17,C253+E253)+H253)</f>
        <v>4311.533367807353</v>
      </c>
      <c r="E253" s="2">
        <f>IF(A253="","",C253*'Loan Inputs'!$B$15)</f>
        <v>1171.3255579725273</v>
      </c>
      <c r="F253" s="2">
        <f t="shared" si="9"/>
        <v>3140.2078098348256</v>
      </c>
      <c r="G253" s="2">
        <f t="shared" si="10"/>
        <v>216827.03312397312</v>
      </c>
      <c r="H253" s="2">
        <f>IF(A253="","",MIN('Loan Inputs'!$B$18,MAX(0,C253+E253-'Loan Inputs'!$B$17)))</f>
        <v>250</v>
      </c>
    </row>
    <row r="254" spans="1:8" ht="22" customHeight="1">
      <c r="A254" s="1">
        <f>IF(AND('Loan Inputs'!$B$12,248&lt;=IF('Loan Inputs'!$B$12,'Loan Inputs'!$B$7,0)*'Loan Inputs'!$B$14+5*'Loan Inputs'!$B$14,ISNUMBER(G253),G253&gt;0),248,"")</f>
        <v>248</v>
      </c>
      <c r="B254" s="4">
        <f>IF(A254="","",IF('Loan Inputs'!$B$14=12,DATE(YEAR('Loan Inputs'!$B$8),MONTH('Loan Inputs'!$B$8)+A254,DAY('Loan Inputs'!$B$8)),'Loan Inputs'!$B$8+A254*IF('Loan Inputs'!$B$14=26,14,7)))</f>
        <v>53874</v>
      </c>
      <c r="C254" s="2">
        <f t="shared" si="11"/>
        <v>216827.03312397312</v>
      </c>
      <c r="D254" s="2">
        <f>IF(A254="","",MIN('Loan Inputs'!$B$17,C254+E254)+H254)</f>
        <v>4311.533367807353</v>
      </c>
      <c r="E254" s="2">
        <f>IF(A254="","",C254*'Loan Inputs'!$B$15)</f>
        <v>1154.6039513851567</v>
      </c>
      <c r="F254" s="2">
        <f t="shared" si="9"/>
        <v>3156.9294164221965</v>
      </c>
      <c r="G254" s="2">
        <f t="shared" si="10"/>
        <v>213670.10370755091</v>
      </c>
      <c r="H254" s="2">
        <f>IF(A254="","",MIN('Loan Inputs'!$B$18,MAX(0,C254+E254-'Loan Inputs'!$B$17)))</f>
        <v>250</v>
      </c>
    </row>
    <row r="255" spans="1:8" ht="22" customHeight="1">
      <c r="A255" s="1">
        <f>IF(AND('Loan Inputs'!$B$12,249&lt;=IF('Loan Inputs'!$B$12,'Loan Inputs'!$B$7,0)*'Loan Inputs'!$B$14+5*'Loan Inputs'!$B$14,ISNUMBER(G254),G254&gt;0),249,"")</f>
        <v>249</v>
      </c>
      <c r="B255" s="4">
        <f>IF(A255="","",IF('Loan Inputs'!$B$14=12,DATE(YEAR('Loan Inputs'!$B$8),MONTH('Loan Inputs'!$B$8)+A255,DAY('Loan Inputs'!$B$8)),'Loan Inputs'!$B$8+A255*IF('Loan Inputs'!$B$14=26,14,7)))</f>
        <v>53905</v>
      </c>
      <c r="C255" s="2">
        <f t="shared" si="11"/>
        <v>213670.10370755091</v>
      </c>
      <c r="D255" s="2">
        <f>IF(A255="","",MIN('Loan Inputs'!$B$17,C255+E255)+H255)</f>
        <v>4311.533367807353</v>
      </c>
      <c r="E255" s="2">
        <f>IF(A255="","",C255*'Loan Inputs'!$B$15)</f>
        <v>1137.7933022427085</v>
      </c>
      <c r="F255" s="2">
        <f t="shared" si="9"/>
        <v>3173.7400655646443</v>
      </c>
      <c r="G255" s="2">
        <f t="shared" si="10"/>
        <v>210496.36364198627</v>
      </c>
      <c r="H255" s="2">
        <f>IF(A255="","",MIN('Loan Inputs'!$B$18,MAX(0,C255+E255-'Loan Inputs'!$B$17)))</f>
        <v>250</v>
      </c>
    </row>
    <row r="256" spans="1:8" ht="22" customHeight="1">
      <c r="A256" s="1">
        <f>IF(AND('Loan Inputs'!$B$12,250&lt;=IF('Loan Inputs'!$B$12,'Loan Inputs'!$B$7,0)*'Loan Inputs'!$B$14+5*'Loan Inputs'!$B$14,ISNUMBER(G255),G255&gt;0),250,"")</f>
        <v>250</v>
      </c>
      <c r="B256" s="4">
        <f>IF(A256="","",IF('Loan Inputs'!$B$14=12,DATE(YEAR('Loan Inputs'!$B$8),MONTH('Loan Inputs'!$B$8)+A256,DAY('Loan Inputs'!$B$8)),'Loan Inputs'!$B$8+A256*IF('Loan Inputs'!$B$14=26,14,7)))</f>
        <v>53936</v>
      </c>
      <c r="C256" s="2">
        <f t="shared" si="11"/>
        <v>210496.36364198627</v>
      </c>
      <c r="D256" s="2">
        <f>IF(A256="","",MIN('Loan Inputs'!$B$17,C256+E256)+H256)</f>
        <v>4311.533367807353</v>
      </c>
      <c r="E256" s="2">
        <f>IF(A256="","",C256*'Loan Inputs'!$B$15)</f>
        <v>1120.8931363935769</v>
      </c>
      <c r="F256" s="2">
        <f t="shared" si="9"/>
        <v>3190.6402314137758</v>
      </c>
      <c r="G256" s="2">
        <f t="shared" si="10"/>
        <v>207305.72341057251</v>
      </c>
      <c r="H256" s="2">
        <f>IF(A256="","",MIN('Loan Inputs'!$B$18,MAX(0,C256+E256-'Loan Inputs'!$B$17)))</f>
        <v>250</v>
      </c>
    </row>
    <row r="257" spans="1:8" ht="22" customHeight="1">
      <c r="A257" s="1">
        <f>IF(AND('Loan Inputs'!$B$12,251&lt;=IF('Loan Inputs'!$B$12,'Loan Inputs'!$B$7,0)*'Loan Inputs'!$B$14+5*'Loan Inputs'!$B$14,ISNUMBER(G256),G256&gt;0),251,"")</f>
        <v>251</v>
      </c>
      <c r="B257" s="4">
        <f>IF(A257="","",IF('Loan Inputs'!$B$14=12,DATE(YEAR('Loan Inputs'!$B$8),MONTH('Loan Inputs'!$B$8)+A257,DAY('Loan Inputs'!$B$8)),'Loan Inputs'!$B$8+A257*IF('Loan Inputs'!$B$14=26,14,7)))</f>
        <v>53966</v>
      </c>
      <c r="C257" s="2">
        <f t="shared" si="11"/>
        <v>207305.72341057251</v>
      </c>
      <c r="D257" s="2">
        <f>IF(A257="","",MIN('Loan Inputs'!$B$17,C257+E257)+H257)</f>
        <v>4311.533367807353</v>
      </c>
      <c r="E257" s="2">
        <f>IF(A257="","",C257*'Loan Inputs'!$B$15)</f>
        <v>1103.9029771612986</v>
      </c>
      <c r="F257" s="2">
        <f t="shared" si="9"/>
        <v>3207.6303906460544</v>
      </c>
      <c r="G257" s="2">
        <f t="shared" si="10"/>
        <v>204098.09301992645</v>
      </c>
      <c r="H257" s="2">
        <f>IF(A257="","",MIN('Loan Inputs'!$B$18,MAX(0,C257+E257-'Loan Inputs'!$B$17)))</f>
        <v>250</v>
      </c>
    </row>
    <row r="258" spans="1:8" ht="22" customHeight="1">
      <c r="A258" s="1">
        <f>IF(AND('Loan Inputs'!$B$12,252&lt;=IF('Loan Inputs'!$B$12,'Loan Inputs'!$B$7,0)*'Loan Inputs'!$B$14+5*'Loan Inputs'!$B$14,ISNUMBER(G257),G257&gt;0),252,"")</f>
        <v>252</v>
      </c>
      <c r="B258" s="4">
        <f>IF(A258="","",IF('Loan Inputs'!$B$14=12,DATE(YEAR('Loan Inputs'!$B$8),MONTH('Loan Inputs'!$B$8)+A258,DAY('Loan Inputs'!$B$8)),'Loan Inputs'!$B$8+A258*IF('Loan Inputs'!$B$14=26,14,7)))</f>
        <v>53997</v>
      </c>
      <c r="C258" s="2">
        <f t="shared" si="11"/>
        <v>204098.09301992645</v>
      </c>
      <c r="D258" s="2">
        <f>IF(A258="","",MIN('Loan Inputs'!$B$17,C258+E258)+H258)</f>
        <v>4311.533367807353</v>
      </c>
      <c r="E258" s="2">
        <f>IF(A258="","",C258*'Loan Inputs'!$B$15)</f>
        <v>1086.8223453311084</v>
      </c>
      <c r="F258" s="2">
        <f t="shared" si="9"/>
        <v>3224.7110224762446</v>
      </c>
      <c r="G258" s="2">
        <f t="shared" si="10"/>
        <v>200873.3819974502</v>
      </c>
      <c r="H258" s="2">
        <f>IF(A258="","",MIN('Loan Inputs'!$B$18,MAX(0,C258+E258-'Loan Inputs'!$B$17)))</f>
        <v>250</v>
      </c>
    </row>
    <row r="259" spans="1:8" ht="22" customHeight="1">
      <c r="A259" s="1">
        <f>IF(AND('Loan Inputs'!$B$12,253&lt;=IF('Loan Inputs'!$B$12,'Loan Inputs'!$B$7,0)*'Loan Inputs'!$B$14+5*'Loan Inputs'!$B$14,ISNUMBER(G258),G258&gt;0),253,"")</f>
        <v>253</v>
      </c>
      <c r="B259" s="4">
        <f>IF(A259="","",IF('Loan Inputs'!$B$14=12,DATE(YEAR('Loan Inputs'!$B$8),MONTH('Loan Inputs'!$B$8)+A259,DAY('Loan Inputs'!$B$8)),'Loan Inputs'!$B$8+A259*IF('Loan Inputs'!$B$14=26,14,7)))</f>
        <v>54027</v>
      </c>
      <c r="C259" s="2">
        <f t="shared" si="11"/>
        <v>200873.3819974502</v>
      </c>
      <c r="D259" s="2">
        <f>IF(A259="","",MIN('Loan Inputs'!$B$17,C259+E259)+H259)</f>
        <v>4311.533367807353</v>
      </c>
      <c r="E259" s="2">
        <f>IF(A259="","",C259*'Loan Inputs'!$B$15)</f>
        <v>1069.6507591364223</v>
      </c>
      <c r="F259" s="2">
        <f t="shared" si="9"/>
        <v>3241.8826086709305</v>
      </c>
      <c r="G259" s="2">
        <f t="shared" si="10"/>
        <v>197631.49938877928</v>
      </c>
      <c r="H259" s="2">
        <f>IF(A259="","",MIN('Loan Inputs'!$B$18,MAX(0,C259+E259-'Loan Inputs'!$B$17)))</f>
        <v>250</v>
      </c>
    </row>
    <row r="260" spans="1:8" ht="22" customHeight="1">
      <c r="A260" s="1">
        <f>IF(AND('Loan Inputs'!$B$12,254&lt;=IF('Loan Inputs'!$B$12,'Loan Inputs'!$B$7,0)*'Loan Inputs'!$B$14+5*'Loan Inputs'!$B$14,ISNUMBER(G259),G259&gt;0),254,"")</f>
        <v>254</v>
      </c>
      <c r="B260" s="4">
        <f>IF(A260="","",IF('Loan Inputs'!$B$14=12,DATE(YEAR('Loan Inputs'!$B$8),MONTH('Loan Inputs'!$B$8)+A260,DAY('Loan Inputs'!$B$8)),'Loan Inputs'!$B$8+A260*IF('Loan Inputs'!$B$14=26,14,7)))</f>
        <v>54058</v>
      </c>
      <c r="C260" s="2">
        <f t="shared" si="11"/>
        <v>197631.49938877928</v>
      </c>
      <c r="D260" s="2">
        <f>IF(A260="","",MIN('Loan Inputs'!$B$17,C260+E260)+H260)</f>
        <v>4311.533367807353</v>
      </c>
      <c r="E260" s="2">
        <f>IF(A260="","",C260*'Loan Inputs'!$B$15)</f>
        <v>1052.3877342452497</v>
      </c>
      <c r="F260" s="2">
        <f t="shared" si="9"/>
        <v>3259.1456335621033</v>
      </c>
      <c r="G260" s="2">
        <f t="shared" si="10"/>
        <v>194372.35375521719</v>
      </c>
      <c r="H260" s="2">
        <f>IF(A260="","",MIN('Loan Inputs'!$B$18,MAX(0,C260+E260-'Loan Inputs'!$B$17)))</f>
        <v>250</v>
      </c>
    </row>
    <row r="261" spans="1:8" ht="22" customHeight="1">
      <c r="A261" s="1">
        <f>IF(AND('Loan Inputs'!$B$12,255&lt;=IF('Loan Inputs'!$B$12,'Loan Inputs'!$B$7,0)*'Loan Inputs'!$B$14+5*'Loan Inputs'!$B$14,ISNUMBER(G260),G260&gt;0),255,"")</f>
        <v>255</v>
      </c>
      <c r="B261" s="4">
        <f>IF(A261="","",IF('Loan Inputs'!$B$14=12,DATE(YEAR('Loan Inputs'!$B$8),MONTH('Loan Inputs'!$B$8)+A261,DAY('Loan Inputs'!$B$8)),'Loan Inputs'!$B$8+A261*IF('Loan Inputs'!$B$14=26,14,7)))</f>
        <v>54089</v>
      </c>
      <c r="C261" s="2">
        <f t="shared" si="11"/>
        <v>194372.35375521719</v>
      </c>
      <c r="D261" s="2">
        <f>IF(A261="","",MIN('Loan Inputs'!$B$17,C261+E261)+H261)</f>
        <v>4311.533367807353</v>
      </c>
      <c r="E261" s="2">
        <f>IF(A261="","",C261*'Loan Inputs'!$B$15)</f>
        <v>1035.0327837465315</v>
      </c>
      <c r="F261" s="2">
        <f t="shared" si="9"/>
        <v>3276.5005840608214</v>
      </c>
      <c r="G261" s="2">
        <f t="shared" si="10"/>
        <v>191095.85317115637</v>
      </c>
      <c r="H261" s="2">
        <f>IF(A261="","",MIN('Loan Inputs'!$B$18,MAX(0,C261+E261-'Loan Inputs'!$B$17)))</f>
        <v>250</v>
      </c>
    </row>
    <row r="262" spans="1:8" ht="22" customHeight="1">
      <c r="A262" s="1">
        <f>IF(AND('Loan Inputs'!$B$12,256&lt;=IF('Loan Inputs'!$B$12,'Loan Inputs'!$B$7,0)*'Loan Inputs'!$B$14+5*'Loan Inputs'!$B$14,ISNUMBER(G261),G261&gt;0),256,"")</f>
        <v>256</v>
      </c>
      <c r="B262" s="4">
        <f>IF(A262="","",IF('Loan Inputs'!$B$14=12,DATE(YEAR('Loan Inputs'!$B$8),MONTH('Loan Inputs'!$B$8)+A262,DAY('Loan Inputs'!$B$8)),'Loan Inputs'!$B$8+A262*IF('Loan Inputs'!$B$14=26,14,7)))</f>
        <v>54118</v>
      </c>
      <c r="C262" s="2">
        <f t="shared" si="11"/>
        <v>191095.85317115637</v>
      </c>
      <c r="D262" s="2">
        <f>IF(A262="","",MIN('Loan Inputs'!$B$17,C262+E262)+H262)</f>
        <v>4311.533367807353</v>
      </c>
      <c r="E262" s="2">
        <f>IF(A262="","",C262*'Loan Inputs'!$B$15)</f>
        <v>1017.5854181364076</v>
      </c>
      <c r="F262" s="2">
        <f t="shared" si="9"/>
        <v>3293.9479496709455</v>
      </c>
      <c r="G262" s="2">
        <f t="shared" si="10"/>
        <v>187801.90522148542</v>
      </c>
      <c r="H262" s="2">
        <f>IF(A262="","",MIN('Loan Inputs'!$B$18,MAX(0,C262+E262-'Loan Inputs'!$B$17)))</f>
        <v>250</v>
      </c>
    </row>
    <row r="263" spans="1:8" ht="22" customHeight="1">
      <c r="A263" s="1">
        <f>IF(AND('Loan Inputs'!$B$12,257&lt;=IF('Loan Inputs'!$B$12,'Loan Inputs'!$B$7,0)*'Loan Inputs'!$B$14+5*'Loan Inputs'!$B$14,ISNUMBER(G262),G262&gt;0),257,"")</f>
        <v>257</v>
      </c>
      <c r="B263" s="4">
        <f>IF(A263="","",IF('Loan Inputs'!$B$14=12,DATE(YEAR('Loan Inputs'!$B$8),MONTH('Loan Inputs'!$B$8)+A263,DAY('Loan Inputs'!$B$8)),'Loan Inputs'!$B$8+A263*IF('Loan Inputs'!$B$14=26,14,7)))</f>
        <v>54149</v>
      </c>
      <c r="C263" s="2">
        <f t="shared" si="11"/>
        <v>187801.90522148542</v>
      </c>
      <c r="D263" s="2">
        <f>IF(A263="","",MIN('Loan Inputs'!$B$17,C263+E263)+H263)</f>
        <v>4311.533367807353</v>
      </c>
      <c r="E263" s="2">
        <f>IF(A263="","",C263*'Loan Inputs'!$B$15)</f>
        <v>1000.0451453044099</v>
      </c>
      <c r="F263" s="2">
        <f t="shared" ref="F263:F326" si="12">IF(A263="","",MIN(C263,D263-E263))</f>
        <v>3311.4882225029432</v>
      </c>
      <c r="G263" s="2">
        <f t="shared" ref="G263:G326" si="13">IF(A263="","",IF(C263-F263&lt;0.0000001,0,MAX(0,C263-F263)))</f>
        <v>184490.41699898249</v>
      </c>
      <c r="H263" s="2">
        <f>IF(A263="","",MIN('Loan Inputs'!$B$18,MAX(0,C263+E263-'Loan Inputs'!$B$17)))</f>
        <v>250</v>
      </c>
    </row>
    <row r="264" spans="1:8" ht="22" customHeight="1">
      <c r="A264" s="1">
        <f>IF(AND('Loan Inputs'!$B$12,258&lt;=IF('Loan Inputs'!$B$12,'Loan Inputs'!$B$7,0)*'Loan Inputs'!$B$14+5*'Loan Inputs'!$B$14,ISNUMBER(G263),G263&gt;0),258,"")</f>
        <v>258</v>
      </c>
      <c r="B264" s="4">
        <f>IF(A264="","",IF('Loan Inputs'!$B$14=12,DATE(YEAR('Loan Inputs'!$B$8),MONTH('Loan Inputs'!$B$8)+A264,DAY('Loan Inputs'!$B$8)),'Loan Inputs'!$B$8+A264*IF('Loan Inputs'!$B$14=26,14,7)))</f>
        <v>54179</v>
      </c>
      <c r="C264" s="2">
        <f t="shared" ref="C264:C327" si="14">IF(A264="","",G263)</f>
        <v>184490.41699898249</v>
      </c>
      <c r="D264" s="2">
        <f>IF(A264="","",MIN('Loan Inputs'!$B$17,C264+E264)+H264)</f>
        <v>4311.533367807353</v>
      </c>
      <c r="E264" s="2">
        <f>IF(A264="","",C264*'Loan Inputs'!$B$15)</f>
        <v>982.41147051958171</v>
      </c>
      <c r="F264" s="2">
        <f t="shared" si="12"/>
        <v>3329.1218972877714</v>
      </c>
      <c r="G264" s="2">
        <f t="shared" si="13"/>
        <v>181161.2951016947</v>
      </c>
      <c r="H264" s="2">
        <f>IF(A264="","",MIN('Loan Inputs'!$B$18,MAX(0,C264+E264-'Loan Inputs'!$B$17)))</f>
        <v>250</v>
      </c>
    </row>
    <row r="265" spans="1:8" ht="22" customHeight="1">
      <c r="A265" s="1">
        <f>IF(AND('Loan Inputs'!$B$12,259&lt;=IF('Loan Inputs'!$B$12,'Loan Inputs'!$B$7,0)*'Loan Inputs'!$B$14+5*'Loan Inputs'!$B$14,ISNUMBER(G264),G264&gt;0),259,"")</f>
        <v>259</v>
      </c>
      <c r="B265" s="4">
        <f>IF(A265="","",IF('Loan Inputs'!$B$14=12,DATE(YEAR('Loan Inputs'!$B$8),MONTH('Loan Inputs'!$B$8)+A265,DAY('Loan Inputs'!$B$8)),'Loan Inputs'!$B$8+A265*IF('Loan Inputs'!$B$14=26,14,7)))</f>
        <v>54210</v>
      </c>
      <c r="C265" s="2">
        <f t="shared" si="14"/>
        <v>181161.2951016947</v>
      </c>
      <c r="D265" s="2">
        <f>IF(A265="","",MIN('Loan Inputs'!$B$17,C265+E265)+H265)</f>
        <v>4311.533367807353</v>
      </c>
      <c r="E265" s="2">
        <f>IF(A265="","",C265*'Loan Inputs'!$B$15)</f>
        <v>964.68389641652425</v>
      </c>
      <c r="F265" s="2">
        <f t="shared" si="12"/>
        <v>3346.8494713908285</v>
      </c>
      <c r="G265" s="2">
        <f t="shared" si="13"/>
        <v>177814.44563030388</v>
      </c>
      <c r="H265" s="2">
        <f>IF(A265="","",MIN('Loan Inputs'!$B$18,MAX(0,C265+E265-'Loan Inputs'!$B$17)))</f>
        <v>250</v>
      </c>
    </row>
    <row r="266" spans="1:8" ht="22" customHeight="1">
      <c r="A266" s="1">
        <f>IF(AND('Loan Inputs'!$B$12,260&lt;=IF('Loan Inputs'!$B$12,'Loan Inputs'!$B$7,0)*'Loan Inputs'!$B$14+5*'Loan Inputs'!$B$14,ISNUMBER(G265),G265&gt;0),260,"")</f>
        <v>260</v>
      </c>
      <c r="B266" s="4">
        <f>IF(A266="","",IF('Loan Inputs'!$B$14=12,DATE(YEAR('Loan Inputs'!$B$8),MONTH('Loan Inputs'!$B$8)+A266,DAY('Loan Inputs'!$B$8)),'Loan Inputs'!$B$8+A266*IF('Loan Inputs'!$B$14=26,14,7)))</f>
        <v>54240</v>
      </c>
      <c r="C266" s="2">
        <f t="shared" si="14"/>
        <v>177814.44563030388</v>
      </c>
      <c r="D266" s="2">
        <f>IF(A266="","",MIN('Loan Inputs'!$B$17,C266+E266)+H266)</f>
        <v>4311.533367807353</v>
      </c>
      <c r="E266" s="2">
        <f>IF(A266="","",C266*'Loan Inputs'!$B$15)</f>
        <v>946.86192298136814</v>
      </c>
      <c r="F266" s="2">
        <f t="shared" si="12"/>
        <v>3364.671444825985</v>
      </c>
      <c r="G266" s="2">
        <f t="shared" si="13"/>
        <v>174449.7741854779</v>
      </c>
      <c r="H266" s="2">
        <f>IF(A266="","",MIN('Loan Inputs'!$B$18,MAX(0,C266+E266-'Loan Inputs'!$B$17)))</f>
        <v>250</v>
      </c>
    </row>
    <row r="267" spans="1:8" ht="22" customHeight="1">
      <c r="A267" s="1">
        <f>IF(AND('Loan Inputs'!$B$12,261&lt;=IF('Loan Inputs'!$B$12,'Loan Inputs'!$B$7,0)*'Loan Inputs'!$B$14+5*'Loan Inputs'!$B$14,ISNUMBER(G266),G266&gt;0),261,"")</f>
        <v>261</v>
      </c>
      <c r="B267" s="4">
        <f>IF(A267="","",IF('Loan Inputs'!$B$14=12,DATE(YEAR('Loan Inputs'!$B$8),MONTH('Loan Inputs'!$B$8)+A267,DAY('Loan Inputs'!$B$8)),'Loan Inputs'!$B$8+A267*IF('Loan Inputs'!$B$14=26,14,7)))</f>
        <v>54271</v>
      </c>
      <c r="C267" s="2">
        <f t="shared" si="14"/>
        <v>174449.7741854779</v>
      </c>
      <c r="D267" s="2">
        <f>IF(A267="","",MIN('Loan Inputs'!$B$17,C267+E267)+H267)</f>
        <v>4311.533367807353</v>
      </c>
      <c r="E267" s="2">
        <f>IF(A267="","",C267*'Loan Inputs'!$B$15)</f>
        <v>928.94504753766978</v>
      </c>
      <c r="F267" s="2">
        <f t="shared" si="12"/>
        <v>3382.5883202696832</v>
      </c>
      <c r="G267" s="2">
        <f t="shared" si="13"/>
        <v>171067.18586520822</v>
      </c>
      <c r="H267" s="2">
        <f>IF(A267="","",MIN('Loan Inputs'!$B$18,MAX(0,C267+E267-'Loan Inputs'!$B$17)))</f>
        <v>250</v>
      </c>
    </row>
    <row r="268" spans="1:8" ht="22" customHeight="1">
      <c r="A268" s="1">
        <f>IF(AND('Loan Inputs'!$B$12,262&lt;=IF('Loan Inputs'!$B$12,'Loan Inputs'!$B$7,0)*'Loan Inputs'!$B$14+5*'Loan Inputs'!$B$14,ISNUMBER(G267),G267&gt;0),262,"")</f>
        <v>262</v>
      </c>
      <c r="B268" s="4">
        <f>IF(A268="","",IF('Loan Inputs'!$B$14=12,DATE(YEAR('Loan Inputs'!$B$8),MONTH('Loan Inputs'!$B$8)+A268,DAY('Loan Inputs'!$B$8)),'Loan Inputs'!$B$8+A268*IF('Loan Inputs'!$B$14=26,14,7)))</f>
        <v>54302</v>
      </c>
      <c r="C268" s="2">
        <f t="shared" si="14"/>
        <v>171067.18586520822</v>
      </c>
      <c r="D268" s="2">
        <f>IF(A268="","",MIN('Loan Inputs'!$B$17,C268+E268)+H268)</f>
        <v>4311.533367807353</v>
      </c>
      <c r="E268" s="2">
        <f>IF(A268="","",C268*'Loan Inputs'!$B$15)</f>
        <v>910.93276473223375</v>
      </c>
      <c r="F268" s="2">
        <f t="shared" si="12"/>
        <v>3400.6006030751191</v>
      </c>
      <c r="G268" s="2">
        <f t="shared" si="13"/>
        <v>167666.5852621331</v>
      </c>
      <c r="H268" s="2">
        <f>IF(A268="","",MIN('Loan Inputs'!$B$18,MAX(0,C268+E268-'Loan Inputs'!$B$17)))</f>
        <v>250</v>
      </c>
    </row>
    <row r="269" spans="1:8" ht="22" customHeight="1">
      <c r="A269" s="1">
        <f>IF(AND('Loan Inputs'!$B$12,263&lt;=IF('Loan Inputs'!$B$12,'Loan Inputs'!$B$7,0)*'Loan Inputs'!$B$14+5*'Loan Inputs'!$B$14,ISNUMBER(G268),G268&gt;0),263,"")</f>
        <v>263</v>
      </c>
      <c r="B269" s="4">
        <f>IF(A269="","",IF('Loan Inputs'!$B$14=12,DATE(YEAR('Loan Inputs'!$B$8),MONTH('Loan Inputs'!$B$8)+A269,DAY('Loan Inputs'!$B$8)),'Loan Inputs'!$B$8+A269*IF('Loan Inputs'!$B$14=26,14,7)))</f>
        <v>54332</v>
      </c>
      <c r="C269" s="2">
        <f t="shared" si="14"/>
        <v>167666.5852621331</v>
      </c>
      <c r="D269" s="2">
        <f>IF(A269="","",MIN('Loan Inputs'!$B$17,C269+E269)+H269)</f>
        <v>4311.533367807353</v>
      </c>
      <c r="E269" s="2">
        <f>IF(A269="","",C269*'Loan Inputs'!$B$15)</f>
        <v>892.82456652085875</v>
      </c>
      <c r="F269" s="2">
        <f t="shared" si="12"/>
        <v>3418.7088012864942</v>
      </c>
      <c r="G269" s="2">
        <f t="shared" si="13"/>
        <v>164247.8764608466</v>
      </c>
      <c r="H269" s="2">
        <f>IF(A269="","",MIN('Loan Inputs'!$B$18,MAX(0,C269+E269-'Loan Inputs'!$B$17)))</f>
        <v>250</v>
      </c>
    </row>
    <row r="270" spans="1:8" ht="22" customHeight="1">
      <c r="A270" s="1">
        <f>IF(AND('Loan Inputs'!$B$12,264&lt;=IF('Loan Inputs'!$B$12,'Loan Inputs'!$B$7,0)*'Loan Inputs'!$B$14+5*'Loan Inputs'!$B$14,ISNUMBER(G269),G269&gt;0),264,"")</f>
        <v>264</v>
      </c>
      <c r="B270" s="4">
        <f>IF(A270="","",IF('Loan Inputs'!$B$14=12,DATE(YEAR('Loan Inputs'!$B$8),MONTH('Loan Inputs'!$B$8)+A270,DAY('Loan Inputs'!$B$8)),'Loan Inputs'!$B$8+A270*IF('Loan Inputs'!$B$14=26,14,7)))</f>
        <v>54363</v>
      </c>
      <c r="C270" s="2">
        <f t="shared" si="14"/>
        <v>164247.8764608466</v>
      </c>
      <c r="D270" s="2">
        <f>IF(A270="","",MIN('Loan Inputs'!$B$17,C270+E270)+H270)</f>
        <v>4311.533367807353</v>
      </c>
      <c r="E270" s="2">
        <f>IF(A270="","",C270*'Loan Inputs'!$B$15)</f>
        <v>874.61994215400807</v>
      </c>
      <c r="F270" s="2">
        <f t="shared" si="12"/>
        <v>3436.9134256533448</v>
      </c>
      <c r="G270" s="2">
        <f t="shared" si="13"/>
        <v>160810.96303519324</v>
      </c>
      <c r="H270" s="2">
        <f>IF(A270="","",MIN('Loan Inputs'!$B$18,MAX(0,C270+E270-'Loan Inputs'!$B$17)))</f>
        <v>250</v>
      </c>
    </row>
    <row r="271" spans="1:8" ht="22" customHeight="1">
      <c r="A271" s="1">
        <f>IF(AND('Loan Inputs'!$B$12,265&lt;=IF('Loan Inputs'!$B$12,'Loan Inputs'!$B$7,0)*'Loan Inputs'!$B$14+5*'Loan Inputs'!$B$14,ISNUMBER(G270),G270&gt;0),265,"")</f>
        <v>265</v>
      </c>
      <c r="B271" s="4">
        <f>IF(A271="","",IF('Loan Inputs'!$B$14=12,DATE(YEAR('Loan Inputs'!$B$8),MONTH('Loan Inputs'!$B$8)+A271,DAY('Loan Inputs'!$B$8)),'Loan Inputs'!$B$8+A271*IF('Loan Inputs'!$B$14=26,14,7)))</f>
        <v>54393</v>
      </c>
      <c r="C271" s="2">
        <f t="shared" si="14"/>
        <v>160810.96303519324</v>
      </c>
      <c r="D271" s="2">
        <f>IF(A271="","",MIN('Loan Inputs'!$B$17,C271+E271)+H271)</f>
        <v>4311.533367807353</v>
      </c>
      <c r="E271" s="2">
        <f>IF(A271="","",C271*'Loan Inputs'!$B$15)</f>
        <v>856.31837816240397</v>
      </c>
      <c r="F271" s="2">
        <f t="shared" si="12"/>
        <v>3455.2149896449491</v>
      </c>
      <c r="G271" s="2">
        <f t="shared" si="13"/>
        <v>157355.7480455483</v>
      </c>
      <c r="H271" s="2">
        <f>IF(A271="","",MIN('Loan Inputs'!$B$18,MAX(0,C271+E271-'Loan Inputs'!$B$17)))</f>
        <v>250</v>
      </c>
    </row>
    <row r="272" spans="1:8" ht="22" customHeight="1">
      <c r="A272" s="1">
        <f>IF(AND('Loan Inputs'!$B$12,266&lt;=IF('Loan Inputs'!$B$12,'Loan Inputs'!$B$7,0)*'Loan Inputs'!$B$14+5*'Loan Inputs'!$B$14,ISNUMBER(G271),G271&gt;0),266,"")</f>
        <v>266</v>
      </c>
      <c r="B272" s="4">
        <f>IF(A272="","",IF('Loan Inputs'!$B$14=12,DATE(YEAR('Loan Inputs'!$B$8),MONTH('Loan Inputs'!$B$8)+A272,DAY('Loan Inputs'!$B$8)),'Loan Inputs'!$B$8+A272*IF('Loan Inputs'!$B$14=26,14,7)))</f>
        <v>54424</v>
      </c>
      <c r="C272" s="2">
        <f t="shared" si="14"/>
        <v>157355.7480455483</v>
      </c>
      <c r="D272" s="2">
        <f>IF(A272="","",MIN('Loan Inputs'!$B$17,C272+E272)+H272)</f>
        <v>4311.533367807353</v>
      </c>
      <c r="E272" s="2">
        <f>IF(A272="","",C272*'Loan Inputs'!$B$15)</f>
        <v>837.91935834254468</v>
      </c>
      <c r="F272" s="2">
        <f t="shared" si="12"/>
        <v>3473.6140094648081</v>
      </c>
      <c r="G272" s="2">
        <f t="shared" si="13"/>
        <v>153882.1340360835</v>
      </c>
      <c r="H272" s="2">
        <f>IF(A272="","",MIN('Loan Inputs'!$B$18,MAX(0,C272+E272-'Loan Inputs'!$B$17)))</f>
        <v>250</v>
      </c>
    </row>
    <row r="273" spans="1:8" ht="22" customHeight="1">
      <c r="A273" s="1">
        <f>IF(AND('Loan Inputs'!$B$12,267&lt;=IF('Loan Inputs'!$B$12,'Loan Inputs'!$B$7,0)*'Loan Inputs'!$B$14+5*'Loan Inputs'!$B$14,ISNUMBER(G272),G272&gt;0),267,"")</f>
        <v>267</v>
      </c>
      <c r="B273" s="4">
        <f>IF(A273="","",IF('Loan Inputs'!$B$14=12,DATE(YEAR('Loan Inputs'!$B$8),MONTH('Loan Inputs'!$B$8)+A273,DAY('Loan Inputs'!$B$8)),'Loan Inputs'!$B$8+A273*IF('Loan Inputs'!$B$14=26,14,7)))</f>
        <v>54455</v>
      </c>
      <c r="C273" s="2">
        <f t="shared" si="14"/>
        <v>153882.1340360835</v>
      </c>
      <c r="D273" s="2">
        <f>IF(A273="","",MIN('Loan Inputs'!$B$17,C273+E273)+H273)</f>
        <v>4311.533367807353</v>
      </c>
      <c r="E273" s="2">
        <f>IF(A273="","",C273*'Loan Inputs'!$B$15)</f>
        <v>819.42236374214463</v>
      </c>
      <c r="F273" s="2">
        <f t="shared" si="12"/>
        <v>3492.1110040652084</v>
      </c>
      <c r="G273" s="2">
        <f t="shared" si="13"/>
        <v>150390.0230320183</v>
      </c>
      <c r="H273" s="2">
        <f>IF(A273="","",MIN('Loan Inputs'!$B$18,MAX(0,C273+E273-'Loan Inputs'!$B$17)))</f>
        <v>250</v>
      </c>
    </row>
    <row r="274" spans="1:8" ht="22" customHeight="1">
      <c r="A274" s="1">
        <f>IF(AND('Loan Inputs'!$B$12,268&lt;=IF('Loan Inputs'!$B$12,'Loan Inputs'!$B$7,0)*'Loan Inputs'!$B$14+5*'Loan Inputs'!$B$14,ISNUMBER(G273),G273&gt;0),268,"")</f>
        <v>268</v>
      </c>
      <c r="B274" s="4">
        <f>IF(A274="","",IF('Loan Inputs'!$B$14=12,DATE(YEAR('Loan Inputs'!$B$8),MONTH('Loan Inputs'!$B$8)+A274,DAY('Loan Inputs'!$B$8)),'Loan Inputs'!$B$8+A274*IF('Loan Inputs'!$B$14=26,14,7)))</f>
        <v>54483</v>
      </c>
      <c r="C274" s="2">
        <f t="shared" si="14"/>
        <v>150390.0230320183</v>
      </c>
      <c r="D274" s="2">
        <f>IF(A274="","",MIN('Loan Inputs'!$B$17,C274+E274)+H274)</f>
        <v>4311.533367807353</v>
      </c>
      <c r="E274" s="2">
        <f>IF(A274="","",C274*'Loan Inputs'!$B$15)</f>
        <v>800.82687264549747</v>
      </c>
      <c r="F274" s="2">
        <f t="shared" si="12"/>
        <v>3510.7064951618554</v>
      </c>
      <c r="G274" s="2">
        <f t="shared" si="13"/>
        <v>146879.31653685644</v>
      </c>
      <c r="H274" s="2">
        <f>IF(A274="","",MIN('Loan Inputs'!$B$18,MAX(0,C274+E274-'Loan Inputs'!$B$17)))</f>
        <v>250</v>
      </c>
    </row>
    <row r="275" spans="1:8" ht="22" customHeight="1">
      <c r="A275" s="1">
        <f>IF(AND('Loan Inputs'!$B$12,269&lt;=IF('Loan Inputs'!$B$12,'Loan Inputs'!$B$7,0)*'Loan Inputs'!$B$14+5*'Loan Inputs'!$B$14,ISNUMBER(G274),G274&gt;0),269,"")</f>
        <v>269</v>
      </c>
      <c r="B275" s="4">
        <f>IF(A275="","",IF('Loan Inputs'!$B$14=12,DATE(YEAR('Loan Inputs'!$B$8),MONTH('Loan Inputs'!$B$8)+A275,DAY('Loan Inputs'!$B$8)),'Loan Inputs'!$B$8+A275*IF('Loan Inputs'!$B$14=26,14,7)))</f>
        <v>54514</v>
      </c>
      <c r="C275" s="2">
        <f t="shared" si="14"/>
        <v>146879.31653685644</v>
      </c>
      <c r="D275" s="2">
        <f>IF(A275="","",MIN('Loan Inputs'!$B$17,C275+E275)+H275)</f>
        <v>4311.533367807353</v>
      </c>
      <c r="E275" s="2">
        <f>IF(A275="","",C275*'Loan Inputs'!$B$15)</f>
        <v>782.13236055876052</v>
      </c>
      <c r="F275" s="2">
        <f t="shared" si="12"/>
        <v>3529.4010072485926</v>
      </c>
      <c r="G275" s="2">
        <f t="shared" si="13"/>
        <v>143349.91552960785</v>
      </c>
      <c r="H275" s="2">
        <f>IF(A275="","",MIN('Loan Inputs'!$B$18,MAX(0,C275+E275-'Loan Inputs'!$B$17)))</f>
        <v>250</v>
      </c>
    </row>
    <row r="276" spans="1:8" ht="22" customHeight="1">
      <c r="A276" s="1">
        <f>IF(AND('Loan Inputs'!$B$12,270&lt;=IF('Loan Inputs'!$B$12,'Loan Inputs'!$B$7,0)*'Loan Inputs'!$B$14+5*'Loan Inputs'!$B$14,ISNUMBER(G275),G275&gt;0),270,"")</f>
        <v>270</v>
      </c>
      <c r="B276" s="4">
        <f>IF(A276="","",IF('Loan Inputs'!$B$14=12,DATE(YEAR('Loan Inputs'!$B$8),MONTH('Loan Inputs'!$B$8)+A276,DAY('Loan Inputs'!$B$8)),'Loan Inputs'!$B$8+A276*IF('Loan Inputs'!$B$14=26,14,7)))</f>
        <v>54544</v>
      </c>
      <c r="C276" s="2">
        <f t="shared" si="14"/>
        <v>143349.91552960785</v>
      </c>
      <c r="D276" s="2">
        <f>IF(A276="","",MIN('Loan Inputs'!$B$17,C276+E276)+H276)</f>
        <v>4311.533367807353</v>
      </c>
      <c r="E276" s="2">
        <f>IF(A276="","",C276*'Loan Inputs'!$B$15)</f>
        <v>763.33830019516176</v>
      </c>
      <c r="F276" s="2">
        <f t="shared" si="12"/>
        <v>3548.1950676121915</v>
      </c>
      <c r="G276" s="2">
        <f t="shared" si="13"/>
        <v>139801.72046199566</v>
      </c>
      <c r="H276" s="2">
        <f>IF(A276="","",MIN('Loan Inputs'!$B$18,MAX(0,C276+E276-'Loan Inputs'!$B$17)))</f>
        <v>250</v>
      </c>
    </row>
    <row r="277" spans="1:8" ht="22" customHeight="1">
      <c r="A277" s="1">
        <f>IF(AND('Loan Inputs'!$B$12,271&lt;=IF('Loan Inputs'!$B$12,'Loan Inputs'!$B$7,0)*'Loan Inputs'!$B$14+5*'Loan Inputs'!$B$14,ISNUMBER(G276),G276&gt;0),271,"")</f>
        <v>271</v>
      </c>
      <c r="B277" s="4">
        <f>IF(A277="","",IF('Loan Inputs'!$B$14=12,DATE(YEAR('Loan Inputs'!$B$8),MONTH('Loan Inputs'!$B$8)+A277,DAY('Loan Inputs'!$B$8)),'Loan Inputs'!$B$8+A277*IF('Loan Inputs'!$B$14=26,14,7)))</f>
        <v>54575</v>
      </c>
      <c r="C277" s="2">
        <f t="shared" si="14"/>
        <v>139801.72046199566</v>
      </c>
      <c r="D277" s="2">
        <f>IF(A277="","",MIN('Loan Inputs'!$B$17,C277+E277)+H277)</f>
        <v>4311.533367807353</v>
      </c>
      <c r="E277" s="2">
        <f>IF(A277="","",C277*'Loan Inputs'!$B$15)</f>
        <v>744.44416146012691</v>
      </c>
      <c r="F277" s="2">
        <f t="shared" si="12"/>
        <v>3567.0892063472261</v>
      </c>
      <c r="G277" s="2">
        <f t="shared" si="13"/>
        <v>136234.63125564845</v>
      </c>
      <c r="H277" s="2">
        <f>IF(A277="","",MIN('Loan Inputs'!$B$18,MAX(0,C277+E277-'Loan Inputs'!$B$17)))</f>
        <v>250</v>
      </c>
    </row>
    <row r="278" spans="1:8" ht="22" customHeight="1">
      <c r="A278" s="1">
        <f>IF(AND('Loan Inputs'!$B$12,272&lt;=IF('Loan Inputs'!$B$12,'Loan Inputs'!$B$7,0)*'Loan Inputs'!$B$14+5*'Loan Inputs'!$B$14,ISNUMBER(G277),G277&gt;0),272,"")</f>
        <v>272</v>
      </c>
      <c r="B278" s="4">
        <f>IF(A278="","",IF('Loan Inputs'!$B$14=12,DATE(YEAR('Loan Inputs'!$B$8),MONTH('Loan Inputs'!$B$8)+A278,DAY('Loan Inputs'!$B$8)),'Loan Inputs'!$B$8+A278*IF('Loan Inputs'!$B$14=26,14,7)))</f>
        <v>54605</v>
      </c>
      <c r="C278" s="2">
        <f t="shared" si="14"/>
        <v>136234.63125564845</v>
      </c>
      <c r="D278" s="2">
        <f>IF(A278="","",MIN('Loan Inputs'!$B$17,C278+E278)+H278)</f>
        <v>4311.533367807353</v>
      </c>
      <c r="E278" s="2">
        <f>IF(A278="","",C278*'Loan Inputs'!$B$15)</f>
        <v>725.44941143632798</v>
      </c>
      <c r="F278" s="2">
        <f t="shared" si="12"/>
        <v>3586.0839563710251</v>
      </c>
      <c r="G278" s="2">
        <f t="shared" si="13"/>
        <v>132648.54729927742</v>
      </c>
      <c r="H278" s="2">
        <f>IF(A278="","",MIN('Loan Inputs'!$B$18,MAX(0,C278+E278-'Loan Inputs'!$B$17)))</f>
        <v>250</v>
      </c>
    </row>
    <row r="279" spans="1:8" ht="22" customHeight="1">
      <c r="A279" s="1">
        <f>IF(AND('Loan Inputs'!$B$12,273&lt;=IF('Loan Inputs'!$B$12,'Loan Inputs'!$B$7,0)*'Loan Inputs'!$B$14+5*'Loan Inputs'!$B$14,ISNUMBER(G278),G278&gt;0),273,"")</f>
        <v>273</v>
      </c>
      <c r="B279" s="4">
        <f>IF(A279="","",IF('Loan Inputs'!$B$14=12,DATE(YEAR('Loan Inputs'!$B$8),MONTH('Loan Inputs'!$B$8)+A279,DAY('Loan Inputs'!$B$8)),'Loan Inputs'!$B$8+A279*IF('Loan Inputs'!$B$14=26,14,7)))</f>
        <v>54636</v>
      </c>
      <c r="C279" s="2">
        <f t="shared" si="14"/>
        <v>132648.54729927742</v>
      </c>
      <c r="D279" s="2">
        <f>IF(A279="","",MIN('Loan Inputs'!$B$17,C279+E279)+H279)</f>
        <v>4311.533367807353</v>
      </c>
      <c r="E279" s="2">
        <f>IF(A279="","",C279*'Loan Inputs'!$B$15)</f>
        <v>706.35351436865221</v>
      </c>
      <c r="F279" s="2">
        <f t="shared" si="12"/>
        <v>3605.1798534387008</v>
      </c>
      <c r="G279" s="2">
        <f t="shared" si="13"/>
        <v>129043.36744583871</v>
      </c>
      <c r="H279" s="2">
        <f>IF(A279="","",MIN('Loan Inputs'!$B$18,MAX(0,C279+E279-'Loan Inputs'!$B$17)))</f>
        <v>250</v>
      </c>
    </row>
    <row r="280" spans="1:8" ht="22" customHeight="1">
      <c r="A280" s="1">
        <f>IF(AND('Loan Inputs'!$B$12,274&lt;=IF('Loan Inputs'!$B$12,'Loan Inputs'!$B$7,0)*'Loan Inputs'!$B$14+5*'Loan Inputs'!$B$14,ISNUMBER(G279),G279&gt;0),274,"")</f>
        <v>274</v>
      </c>
      <c r="B280" s="4">
        <f>IF(A280="","",IF('Loan Inputs'!$B$14=12,DATE(YEAR('Loan Inputs'!$B$8),MONTH('Loan Inputs'!$B$8)+A280,DAY('Loan Inputs'!$B$8)),'Loan Inputs'!$B$8+A280*IF('Loan Inputs'!$B$14=26,14,7)))</f>
        <v>54667</v>
      </c>
      <c r="C280" s="2">
        <f t="shared" si="14"/>
        <v>129043.36744583871</v>
      </c>
      <c r="D280" s="2">
        <f>IF(A280="","",MIN('Loan Inputs'!$B$17,C280+E280)+H280)</f>
        <v>4311.533367807353</v>
      </c>
      <c r="E280" s="2">
        <f>IF(A280="","",C280*'Loan Inputs'!$B$15)</f>
        <v>687.15593164909114</v>
      </c>
      <c r="F280" s="2">
        <f t="shared" si="12"/>
        <v>3624.3774361582618</v>
      </c>
      <c r="G280" s="2">
        <f t="shared" si="13"/>
        <v>125418.99000968045</v>
      </c>
      <c r="H280" s="2">
        <f>IF(A280="","",MIN('Loan Inputs'!$B$18,MAX(0,C280+E280-'Loan Inputs'!$B$17)))</f>
        <v>250</v>
      </c>
    </row>
    <row r="281" spans="1:8" ht="22" customHeight="1">
      <c r="A281" s="1">
        <f>IF(AND('Loan Inputs'!$B$12,275&lt;=IF('Loan Inputs'!$B$12,'Loan Inputs'!$B$7,0)*'Loan Inputs'!$B$14+5*'Loan Inputs'!$B$14,ISNUMBER(G280),G280&gt;0),275,"")</f>
        <v>275</v>
      </c>
      <c r="B281" s="4">
        <f>IF(A281="","",IF('Loan Inputs'!$B$14=12,DATE(YEAR('Loan Inputs'!$B$8),MONTH('Loan Inputs'!$B$8)+A281,DAY('Loan Inputs'!$B$8)),'Loan Inputs'!$B$8+A281*IF('Loan Inputs'!$B$14=26,14,7)))</f>
        <v>54697</v>
      </c>
      <c r="C281" s="2">
        <f t="shared" si="14"/>
        <v>125418.99000968045</v>
      </c>
      <c r="D281" s="2">
        <f>IF(A281="","",MIN('Loan Inputs'!$B$17,C281+E281)+H281)</f>
        <v>4311.533367807353</v>
      </c>
      <c r="E281" s="2">
        <f>IF(A281="","",C281*'Loan Inputs'!$B$15)</f>
        <v>667.8561218015484</v>
      </c>
      <c r="F281" s="2">
        <f t="shared" si="12"/>
        <v>3643.6772460058046</v>
      </c>
      <c r="G281" s="2">
        <f t="shared" si="13"/>
        <v>121775.31276367465</v>
      </c>
      <c r="H281" s="2">
        <f>IF(A281="","",MIN('Loan Inputs'!$B$18,MAX(0,C281+E281-'Loan Inputs'!$B$17)))</f>
        <v>250</v>
      </c>
    </row>
    <row r="282" spans="1:8" ht="22" customHeight="1">
      <c r="A282" s="1">
        <f>IF(AND('Loan Inputs'!$B$12,276&lt;=IF('Loan Inputs'!$B$12,'Loan Inputs'!$B$7,0)*'Loan Inputs'!$B$14+5*'Loan Inputs'!$B$14,ISNUMBER(G281),G281&gt;0),276,"")</f>
        <v>276</v>
      </c>
      <c r="B282" s="4">
        <f>IF(A282="","",IF('Loan Inputs'!$B$14=12,DATE(YEAR('Loan Inputs'!$B$8),MONTH('Loan Inputs'!$B$8)+A282,DAY('Loan Inputs'!$B$8)),'Loan Inputs'!$B$8+A282*IF('Loan Inputs'!$B$14=26,14,7)))</f>
        <v>54728</v>
      </c>
      <c r="C282" s="2">
        <f t="shared" si="14"/>
        <v>121775.31276367465</v>
      </c>
      <c r="D282" s="2">
        <f>IF(A282="","",MIN('Loan Inputs'!$B$17,C282+E282)+H282)</f>
        <v>4311.533367807353</v>
      </c>
      <c r="E282" s="2">
        <f>IF(A282="","",C282*'Loan Inputs'!$B$15)</f>
        <v>648.45354046656746</v>
      </c>
      <c r="F282" s="2">
        <f t="shared" si="12"/>
        <v>3663.0798273407854</v>
      </c>
      <c r="G282" s="2">
        <f t="shared" si="13"/>
        <v>118112.23293633386</v>
      </c>
      <c r="H282" s="2">
        <f>IF(A282="","",MIN('Loan Inputs'!$B$18,MAX(0,C282+E282-'Loan Inputs'!$B$17)))</f>
        <v>250</v>
      </c>
    </row>
    <row r="283" spans="1:8" ht="22" customHeight="1">
      <c r="A283" s="1">
        <f>IF(AND('Loan Inputs'!$B$12,277&lt;=IF('Loan Inputs'!$B$12,'Loan Inputs'!$B$7,0)*'Loan Inputs'!$B$14+5*'Loan Inputs'!$B$14,ISNUMBER(G282),G282&gt;0),277,"")</f>
        <v>277</v>
      </c>
      <c r="B283" s="4">
        <f>IF(A283="","",IF('Loan Inputs'!$B$14=12,DATE(YEAR('Loan Inputs'!$B$8),MONTH('Loan Inputs'!$B$8)+A283,DAY('Loan Inputs'!$B$8)),'Loan Inputs'!$B$8+A283*IF('Loan Inputs'!$B$14=26,14,7)))</f>
        <v>54758</v>
      </c>
      <c r="C283" s="2">
        <f t="shared" si="14"/>
        <v>118112.23293633386</v>
      </c>
      <c r="D283" s="2">
        <f>IF(A283="","",MIN('Loan Inputs'!$B$17,C283+E283)+H283)</f>
        <v>4311.533367807353</v>
      </c>
      <c r="E283" s="2">
        <f>IF(A283="","",C283*'Loan Inputs'!$B$15)</f>
        <v>628.94764038597782</v>
      </c>
      <c r="F283" s="2">
        <f t="shared" si="12"/>
        <v>3682.5857274213749</v>
      </c>
      <c r="G283" s="2">
        <f t="shared" si="13"/>
        <v>114429.64720891249</v>
      </c>
      <c r="H283" s="2">
        <f>IF(A283="","",MIN('Loan Inputs'!$B$18,MAX(0,C283+E283-'Loan Inputs'!$B$17)))</f>
        <v>250</v>
      </c>
    </row>
    <row r="284" spans="1:8" ht="22" customHeight="1">
      <c r="A284" s="1">
        <f>IF(AND('Loan Inputs'!$B$12,278&lt;=IF('Loan Inputs'!$B$12,'Loan Inputs'!$B$7,0)*'Loan Inputs'!$B$14+5*'Loan Inputs'!$B$14,ISNUMBER(G283),G283&gt;0),278,"")</f>
        <v>278</v>
      </c>
      <c r="B284" s="4">
        <f>IF(A284="","",IF('Loan Inputs'!$B$14=12,DATE(YEAR('Loan Inputs'!$B$8),MONTH('Loan Inputs'!$B$8)+A284,DAY('Loan Inputs'!$B$8)),'Loan Inputs'!$B$8+A284*IF('Loan Inputs'!$B$14=26,14,7)))</f>
        <v>54789</v>
      </c>
      <c r="C284" s="2">
        <f t="shared" si="14"/>
        <v>114429.64720891249</v>
      </c>
      <c r="D284" s="2">
        <f>IF(A284="","",MIN('Loan Inputs'!$B$17,C284+E284)+H284)</f>
        <v>4311.533367807353</v>
      </c>
      <c r="E284" s="2">
        <f>IF(A284="","",C284*'Loan Inputs'!$B$15)</f>
        <v>609.33787138745902</v>
      </c>
      <c r="F284" s="2">
        <f t="shared" si="12"/>
        <v>3702.195496419894</v>
      </c>
      <c r="G284" s="2">
        <f t="shared" si="13"/>
        <v>110727.45171249259</v>
      </c>
      <c r="H284" s="2">
        <f>IF(A284="","",MIN('Loan Inputs'!$B$18,MAX(0,C284+E284-'Loan Inputs'!$B$17)))</f>
        <v>250</v>
      </c>
    </row>
    <row r="285" spans="1:8" ht="22" customHeight="1">
      <c r="A285" s="1">
        <f>IF(AND('Loan Inputs'!$B$12,279&lt;=IF('Loan Inputs'!$B$12,'Loan Inputs'!$B$7,0)*'Loan Inputs'!$B$14+5*'Loan Inputs'!$B$14,ISNUMBER(G284),G284&gt;0),279,"")</f>
        <v>279</v>
      </c>
      <c r="B285" s="4">
        <f>IF(A285="","",IF('Loan Inputs'!$B$14=12,DATE(YEAR('Loan Inputs'!$B$8),MONTH('Loan Inputs'!$B$8)+A285,DAY('Loan Inputs'!$B$8)),'Loan Inputs'!$B$8+A285*IF('Loan Inputs'!$B$14=26,14,7)))</f>
        <v>54820</v>
      </c>
      <c r="C285" s="2">
        <f t="shared" si="14"/>
        <v>110727.45171249259</v>
      </c>
      <c r="D285" s="2">
        <f>IF(A285="","",MIN('Loan Inputs'!$B$17,C285+E285)+H285)</f>
        <v>4311.533367807353</v>
      </c>
      <c r="E285" s="2">
        <f>IF(A285="","",C285*'Loan Inputs'!$B$15)</f>
        <v>589.62368036902308</v>
      </c>
      <c r="F285" s="2">
        <f t="shared" si="12"/>
        <v>3721.9096874383299</v>
      </c>
      <c r="G285" s="2">
        <f t="shared" si="13"/>
        <v>107005.54202505427</v>
      </c>
      <c r="H285" s="2">
        <f>IF(A285="","",MIN('Loan Inputs'!$B$18,MAX(0,C285+E285-'Loan Inputs'!$B$17)))</f>
        <v>250</v>
      </c>
    </row>
    <row r="286" spans="1:8" ht="22" customHeight="1">
      <c r="A286" s="1">
        <f>IF(AND('Loan Inputs'!$B$12,280&lt;=IF('Loan Inputs'!$B$12,'Loan Inputs'!$B$7,0)*'Loan Inputs'!$B$14+5*'Loan Inputs'!$B$14,ISNUMBER(G285),G285&gt;0),280,"")</f>
        <v>280</v>
      </c>
      <c r="B286" s="4">
        <f>IF(A286="","",IF('Loan Inputs'!$B$14=12,DATE(YEAR('Loan Inputs'!$B$8),MONTH('Loan Inputs'!$B$8)+A286,DAY('Loan Inputs'!$B$8)),'Loan Inputs'!$B$8+A286*IF('Loan Inputs'!$B$14=26,14,7)))</f>
        <v>54848</v>
      </c>
      <c r="C286" s="2">
        <f t="shared" si="14"/>
        <v>107005.54202505427</v>
      </c>
      <c r="D286" s="2">
        <f>IF(A286="","",MIN('Loan Inputs'!$B$17,C286+E286)+H286)</f>
        <v>4311.533367807353</v>
      </c>
      <c r="E286" s="2">
        <f>IF(A286="","",C286*'Loan Inputs'!$B$15)</f>
        <v>569.80451128341394</v>
      </c>
      <c r="F286" s="2">
        <f t="shared" si="12"/>
        <v>3741.7288565239392</v>
      </c>
      <c r="G286" s="2">
        <f t="shared" si="13"/>
        <v>103263.81316853032</v>
      </c>
      <c r="H286" s="2">
        <f>IF(A286="","",MIN('Loan Inputs'!$B$18,MAX(0,C286+E286-'Loan Inputs'!$B$17)))</f>
        <v>250</v>
      </c>
    </row>
    <row r="287" spans="1:8" ht="22" customHeight="1">
      <c r="A287" s="1">
        <f>IF(AND('Loan Inputs'!$B$12,281&lt;=IF('Loan Inputs'!$B$12,'Loan Inputs'!$B$7,0)*'Loan Inputs'!$B$14+5*'Loan Inputs'!$B$14,ISNUMBER(G286),G286&gt;0),281,"")</f>
        <v>281</v>
      </c>
      <c r="B287" s="4">
        <f>IF(A287="","",IF('Loan Inputs'!$B$14=12,DATE(YEAR('Loan Inputs'!$B$8),MONTH('Loan Inputs'!$B$8)+A287,DAY('Loan Inputs'!$B$8)),'Loan Inputs'!$B$8+A287*IF('Loan Inputs'!$B$14=26,14,7)))</f>
        <v>54879</v>
      </c>
      <c r="C287" s="2">
        <f t="shared" si="14"/>
        <v>103263.81316853032</v>
      </c>
      <c r="D287" s="2">
        <f>IF(A287="","",MIN('Loan Inputs'!$B$17,C287+E287)+H287)</f>
        <v>4311.533367807353</v>
      </c>
      <c r="E287" s="2">
        <f>IF(A287="","",C287*'Loan Inputs'!$B$15)</f>
        <v>549.87980512242393</v>
      </c>
      <c r="F287" s="2">
        <f t="shared" si="12"/>
        <v>3761.6535626849291</v>
      </c>
      <c r="G287" s="2">
        <f t="shared" si="13"/>
        <v>99502.159605845402</v>
      </c>
      <c r="H287" s="2">
        <f>IF(A287="","",MIN('Loan Inputs'!$B$18,MAX(0,C287+E287-'Loan Inputs'!$B$17)))</f>
        <v>250</v>
      </c>
    </row>
    <row r="288" spans="1:8" ht="22" customHeight="1">
      <c r="A288" s="1">
        <f>IF(AND('Loan Inputs'!$B$12,282&lt;=IF('Loan Inputs'!$B$12,'Loan Inputs'!$B$7,0)*'Loan Inputs'!$B$14+5*'Loan Inputs'!$B$14,ISNUMBER(G287),G287&gt;0),282,"")</f>
        <v>282</v>
      </c>
      <c r="B288" s="4">
        <f>IF(A288="","",IF('Loan Inputs'!$B$14=12,DATE(YEAR('Loan Inputs'!$B$8),MONTH('Loan Inputs'!$B$8)+A288,DAY('Loan Inputs'!$B$8)),'Loan Inputs'!$B$8+A288*IF('Loan Inputs'!$B$14=26,14,7)))</f>
        <v>54909</v>
      </c>
      <c r="C288" s="2">
        <f t="shared" si="14"/>
        <v>99502.159605845402</v>
      </c>
      <c r="D288" s="2">
        <f>IF(A288="","",MIN('Loan Inputs'!$B$17,C288+E288)+H288)</f>
        <v>4311.533367807353</v>
      </c>
      <c r="E288" s="2">
        <f>IF(A288="","",C288*'Loan Inputs'!$B$15)</f>
        <v>529.84899990112672</v>
      </c>
      <c r="F288" s="2">
        <f t="shared" si="12"/>
        <v>3781.6843679062263</v>
      </c>
      <c r="G288" s="2">
        <f t="shared" si="13"/>
        <v>95720.475237939172</v>
      </c>
      <c r="H288" s="2">
        <f>IF(A288="","",MIN('Loan Inputs'!$B$18,MAX(0,C288+E288-'Loan Inputs'!$B$17)))</f>
        <v>250</v>
      </c>
    </row>
    <row r="289" spans="1:8" ht="22" customHeight="1">
      <c r="A289" s="1">
        <f>IF(AND('Loan Inputs'!$B$12,283&lt;=IF('Loan Inputs'!$B$12,'Loan Inputs'!$B$7,0)*'Loan Inputs'!$B$14+5*'Loan Inputs'!$B$14,ISNUMBER(G288),G288&gt;0),283,"")</f>
        <v>283</v>
      </c>
      <c r="B289" s="4">
        <f>IF(A289="","",IF('Loan Inputs'!$B$14=12,DATE(YEAR('Loan Inputs'!$B$8),MONTH('Loan Inputs'!$B$8)+A289,DAY('Loan Inputs'!$B$8)),'Loan Inputs'!$B$8+A289*IF('Loan Inputs'!$B$14=26,14,7)))</f>
        <v>54940</v>
      </c>
      <c r="C289" s="2">
        <f t="shared" si="14"/>
        <v>95720.475237939172</v>
      </c>
      <c r="D289" s="2">
        <f>IF(A289="","",MIN('Loan Inputs'!$B$17,C289+E289)+H289)</f>
        <v>4311.533367807353</v>
      </c>
      <c r="E289" s="2">
        <f>IF(A289="","",C289*'Loan Inputs'!$B$15)</f>
        <v>509.7115306420261</v>
      </c>
      <c r="F289" s="2">
        <f t="shared" si="12"/>
        <v>3801.821837165327</v>
      </c>
      <c r="G289" s="2">
        <f t="shared" si="13"/>
        <v>91918.653400773852</v>
      </c>
      <c r="H289" s="2">
        <f>IF(A289="","",MIN('Loan Inputs'!$B$18,MAX(0,C289+E289-'Loan Inputs'!$B$17)))</f>
        <v>250</v>
      </c>
    </row>
    <row r="290" spans="1:8" ht="22" customHeight="1">
      <c r="A290" s="1">
        <f>IF(AND('Loan Inputs'!$B$12,284&lt;=IF('Loan Inputs'!$B$12,'Loan Inputs'!$B$7,0)*'Loan Inputs'!$B$14+5*'Loan Inputs'!$B$14,ISNUMBER(G289),G289&gt;0),284,"")</f>
        <v>284</v>
      </c>
      <c r="B290" s="4">
        <f>IF(A290="","",IF('Loan Inputs'!$B$14=12,DATE(YEAR('Loan Inputs'!$B$8),MONTH('Loan Inputs'!$B$8)+A290,DAY('Loan Inputs'!$B$8)),'Loan Inputs'!$B$8+A290*IF('Loan Inputs'!$B$14=26,14,7)))</f>
        <v>54970</v>
      </c>
      <c r="C290" s="2">
        <f t="shared" si="14"/>
        <v>91918.653400773852</v>
      </c>
      <c r="D290" s="2">
        <f>IF(A290="","",MIN('Loan Inputs'!$B$17,C290+E290)+H290)</f>
        <v>4311.533367807353</v>
      </c>
      <c r="E290" s="2">
        <f>IF(A290="","",C290*'Loan Inputs'!$B$15)</f>
        <v>489.46682935912077</v>
      </c>
      <c r="F290" s="2">
        <f t="shared" si="12"/>
        <v>3822.0665384482322</v>
      </c>
      <c r="G290" s="2">
        <f t="shared" si="13"/>
        <v>88096.586862325625</v>
      </c>
      <c r="H290" s="2">
        <f>IF(A290="","",MIN('Loan Inputs'!$B$18,MAX(0,C290+E290-'Loan Inputs'!$B$17)))</f>
        <v>250</v>
      </c>
    </row>
    <row r="291" spans="1:8" ht="22" customHeight="1">
      <c r="A291" s="1">
        <f>IF(AND('Loan Inputs'!$B$12,285&lt;=IF('Loan Inputs'!$B$12,'Loan Inputs'!$B$7,0)*'Loan Inputs'!$B$14+5*'Loan Inputs'!$B$14,ISNUMBER(G290),G290&gt;0),285,"")</f>
        <v>285</v>
      </c>
      <c r="B291" s="4">
        <f>IF(A291="","",IF('Loan Inputs'!$B$14=12,DATE(YEAR('Loan Inputs'!$B$8),MONTH('Loan Inputs'!$B$8)+A291,DAY('Loan Inputs'!$B$8)),'Loan Inputs'!$B$8+A291*IF('Loan Inputs'!$B$14=26,14,7)))</f>
        <v>55001</v>
      </c>
      <c r="C291" s="2">
        <f t="shared" si="14"/>
        <v>88096.586862325625</v>
      </c>
      <c r="D291" s="2">
        <f>IF(A291="","",MIN('Loan Inputs'!$B$17,C291+E291)+H291)</f>
        <v>4311.533367807353</v>
      </c>
      <c r="E291" s="2">
        <f>IF(A291="","",C291*'Loan Inputs'!$B$15)</f>
        <v>469.11432504188394</v>
      </c>
      <c r="F291" s="2">
        <f t="shared" si="12"/>
        <v>3842.4190427654689</v>
      </c>
      <c r="G291" s="2">
        <f t="shared" si="13"/>
        <v>84254.167819560156</v>
      </c>
      <c r="H291" s="2">
        <f>IF(A291="","",MIN('Loan Inputs'!$B$18,MAX(0,C291+E291-'Loan Inputs'!$B$17)))</f>
        <v>250</v>
      </c>
    </row>
    <row r="292" spans="1:8" ht="22" customHeight="1">
      <c r="A292" s="1">
        <f>IF(AND('Loan Inputs'!$B$12,286&lt;=IF('Loan Inputs'!$B$12,'Loan Inputs'!$B$7,0)*'Loan Inputs'!$B$14+5*'Loan Inputs'!$B$14,ISNUMBER(G291),G291&gt;0),286,"")</f>
        <v>286</v>
      </c>
      <c r="B292" s="4">
        <f>IF(A292="","",IF('Loan Inputs'!$B$14=12,DATE(YEAR('Loan Inputs'!$B$8),MONTH('Loan Inputs'!$B$8)+A292,DAY('Loan Inputs'!$B$8)),'Loan Inputs'!$B$8+A292*IF('Loan Inputs'!$B$14=26,14,7)))</f>
        <v>55032</v>
      </c>
      <c r="C292" s="2">
        <f t="shared" si="14"/>
        <v>84254.167819560156</v>
      </c>
      <c r="D292" s="2">
        <f>IF(A292="","",MIN('Loan Inputs'!$B$17,C292+E292)+H292)</f>
        <v>4311.533367807353</v>
      </c>
      <c r="E292" s="2">
        <f>IF(A292="","",C292*'Loan Inputs'!$B$15)</f>
        <v>448.65344363915784</v>
      </c>
      <c r="F292" s="2">
        <f t="shared" si="12"/>
        <v>3862.879924168195</v>
      </c>
      <c r="G292" s="2">
        <f t="shared" si="13"/>
        <v>80391.287895391957</v>
      </c>
      <c r="H292" s="2">
        <f>IF(A292="","",MIN('Loan Inputs'!$B$18,MAX(0,C292+E292-'Loan Inputs'!$B$17)))</f>
        <v>250</v>
      </c>
    </row>
    <row r="293" spans="1:8" ht="22" customHeight="1">
      <c r="A293" s="1">
        <f>IF(AND('Loan Inputs'!$B$12,287&lt;=IF('Loan Inputs'!$B$12,'Loan Inputs'!$B$7,0)*'Loan Inputs'!$B$14+5*'Loan Inputs'!$B$14,ISNUMBER(G292),G292&gt;0),287,"")</f>
        <v>287</v>
      </c>
      <c r="B293" s="4">
        <f>IF(A293="","",IF('Loan Inputs'!$B$14=12,DATE(YEAR('Loan Inputs'!$B$8),MONTH('Loan Inputs'!$B$8)+A293,DAY('Loan Inputs'!$B$8)),'Loan Inputs'!$B$8+A293*IF('Loan Inputs'!$B$14=26,14,7)))</f>
        <v>55062</v>
      </c>
      <c r="C293" s="2">
        <f t="shared" si="14"/>
        <v>80391.287895391957</v>
      </c>
      <c r="D293" s="2">
        <f>IF(A293="","",MIN('Loan Inputs'!$B$17,C293+E293)+H293)</f>
        <v>4311.533367807353</v>
      </c>
      <c r="E293" s="2">
        <f>IF(A293="","",C293*'Loan Inputs'!$B$15)</f>
        <v>428.08360804296217</v>
      </c>
      <c r="F293" s="2">
        <f t="shared" si="12"/>
        <v>3883.4497597643908</v>
      </c>
      <c r="G293" s="2">
        <f t="shared" si="13"/>
        <v>76507.838135627564</v>
      </c>
      <c r="H293" s="2">
        <f>IF(A293="","",MIN('Loan Inputs'!$B$18,MAX(0,C293+E293-'Loan Inputs'!$B$17)))</f>
        <v>250</v>
      </c>
    </row>
    <row r="294" spans="1:8" ht="22" customHeight="1">
      <c r="A294" s="1">
        <f>IF(AND('Loan Inputs'!$B$12,288&lt;=IF('Loan Inputs'!$B$12,'Loan Inputs'!$B$7,0)*'Loan Inputs'!$B$14+5*'Loan Inputs'!$B$14,ISNUMBER(G293),G293&gt;0),288,"")</f>
        <v>288</v>
      </c>
      <c r="B294" s="4">
        <f>IF(A294="","",IF('Loan Inputs'!$B$14=12,DATE(YEAR('Loan Inputs'!$B$8),MONTH('Loan Inputs'!$B$8)+A294,DAY('Loan Inputs'!$B$8)),'Loan Inputs'!$B$8+A294*IF('Loan Inputs'!$B$14=26,14,7)))</f>
        <v>55093</v>
      </c>
      <c r="C294" s="2">
        <f t="shared" si="14"/>
        <v>76507.838135627564</v>
      </c>
      <c r="D294" s="2">
        <f>IF(A294="","",MIN('Loan Inputs'!$B$17,C294+E294)+H294)</f>
        <v>4311.533367807353</v>
      </c>
      <c r="E294" s="2">
        <f>IF(A294="","",C294*'Loan Inputs'!$B$15)</f>
        <v>407.40423807221674</v>
      </c>
      <c r="F294" s="2">
        <f t="shared" si="12"/>
        <v>3904.1291297351363</v>
      </c>
      <c r="G294" s="2">
        <f t="shared" si="13"/>
        <v>72603.709005892422</v>
      </c>
      <c r="H294" s="2">
        <f>IF(A294="","",MIN('Loan Inputs'!$B$18,MAX(0,C294+E294-'Loan Inputs'!$B$17)))</f>
        <v>250</v>
      </c>
    </row>
    <row r="295" spans="1:8" ht="22" customHeight="1">
      <c r="A295" s="1">
        <f>IF(AND('Loan Inputs'!$B$12,289&lt;=IF('Loan Inputs'!$B$12,'Loan Inputs'!$B$7,0)*'Loan Inputs'!$B$14+5*'Loan Inputs'!$B$14,ISNUMBER(G294),G294&gt;0),289,"")</f>
        <v>289</v>
      </c>
      <c r="B295" s="4">
        <f>IF(A295="","",IF('Loan Inputs'!$B$14=12,DATE(YEAR('Loan Inputs'!$B$8),MONTH('Loan Inputs'!$B$8)+A295,DAY('Loan Inputs'!$B$8)),'Loan Inputs'!$B$8+A295*IF('Loan Inputs'!$B$14=26,14,7)))</f>
        <v>55123</v>
      </c>
      <c r="C295" s="2">
        <f t="shared" si="14"/>
        <v>72603.709005892422</v>
      </c>
      <c r="D295" s="2">
        <f>IF(A295="","",MIN('Loan Inputs'!$B$17,C295+E295)+H295)</f>
        <v>4311.533367807353</v>
      </c>
      <c r="E295" s="2">
        <f>IF(A295="","",C295*'Loan Inputs'!$B$15)</f>
        <v>386.61475045637712</v>
      </c>
      <c r="F295" s="2">
        <f t="shared" si="12"/>
        <v>3924.9186173509761</v>
      </c>
      <c r="G295" s="2">
        <f t="shared" si="13"/>
        <v>68678.790388541442</v>
      </c>
      <c r="H295" s="2">
        <f>IF(A295="","",MIN('Loan Inputs'!$B$18,MAX(0,C295+E295-'Loan Inputs'!$B$17)))</f>
        <v>250</v>
      </c>
    </row>
    <row r="296" spans="1:8" ht="22" customHeight="1">
      <c r="A296" s="1">
        <f>IF(AND('Loan Inputs'!$B$12,290&lt;=IF('Loan Inputs'!$B$12,'Loan Inputs'!$B$7,0)*'Loan Inputs'!$B$14+5*'Loan Inputs'!$B$14,ISNUMBER(G295),G295&gt;0),290,"")</f>
        <v>290</v>
      </c>
      <c r="B296" s="4">
        <f>IF(A296="","",IF('Loan Inputs'!$B$14=12,DATE(YEAR('Loan Inputs'!$B$8),MONTH('Loan Inputs'!$B$8)+A296,DAY('Loan Inputs'!$B$8)),'Loan Inputs'!$B$8+A296*IF('Loan Inputs'!$B$14=26,14,7)))</f>
        <v>55154</v>
      </c>
      <c r="C296" s="2">
        <f t="shared" si="14"/>
        <v>68678.790388541442</v>
      </c>
      <c r="D296" s="2">
        <f>IF(A296="","",MIN('Loan Inputs'!$B$17,C296+E296)+H296)</f>
        <v>4311.533367807353</v>
      </c>
      <c r="E296" s="2">
        <f>IF(A296="","",C296*'Loan Inputs'!$B$15)</f>
        <v>365.71455881898316</v>
      </c>
      <c r="F296" s="2">
        <f t="shared" si="12"/>
        <v>3945.8188089883697</v>
      </c>
      <c r="G296" s="2">
        <f t="shared" si="13"/>
        <v>64732.971579553072</v>
      </c>
      <c r="H296" s="2">
        <f>IF(A296="","",MIN('Loan Inputs'!$B$18,MAX(0,C296+E296-'Loan Inputs'!$B$17)))</f>
        <v>250</v>
      </c>
    </row>
    <row r="297" spans="1:8" ht="22" customHeight="1">
      <c r="A297" s="1">
        <f>IF(AND('Loan Inputs'!$B$12,291&lt;=IF('Loan Inputs'!$B$12,'Loan Inputs'!$B$7,0)*'Loan Inputs'!$B$14+5*'Loan Inputs'!$B$14,ISNUMBER(G296),G296&gt;0),291,"")</f>
        <v>291</v>
      </c>
      <c r="B297" s="4">
        <f>IF(A297="","",IF('Loan Inputs'!$B$14=12,DATE(YEAR('Loan Inputs'!$B$8),MONTH('Loan Inputs'!$B$8)+A297,DAY('Loan Inputs'!$B$8)),'Loan Inputs'!$B$8+A297*IF('Loan Inputs'!$B$14=26,14,7)))</f>
        <v>55185</v>
      </c>
      <c r="C297" s="2">
        <f t="shared" si="14"/>
        <v>64732.971579553072</v>
      </c>
      <c r="D297" s="2">
        <f>IF(A297="","",MIN('Loan Inputs'!$B$17,C297+E297)+H297)</f>
        <v>4311.533367807353</v>
      </c>
      <c r="E297" s="2">
        <f>IF(A297="","",C297*'Loan Inputs'!$B$15)</f>
        <v>344.70307366112007</v>
      </c>
      <c r="F297" s="2">
        <f t="shared" si="12"/>
        <v>3966.830294146233</v>
      </c>
      <c r="G297" s="2">
        <f t="shared" si="13"/>
        <v>60766.14128540684</v>
      </c>
      <c r="H297" s="2">
        <f>IF(A297="","",MIN('Loan Inputs'!$B$18,MAX(0,C297+E297-'Loan Inputs'!$B$17)))</f>
        <v>250</v>
      </c>
    </row>
    <row r="298" spans="1:8" ht="22" customHeight="1">
      <c r="A298" s="1">
        <f>IF(AND('Loan Inputs'!$B$12,292&lt;=IF('Loan Inputs'!$B$12,'Loan Inputs'!$B$7,0)*'Loan Inputs'!$B$14+5*'Loan Inputs'!$B$14,ISNUMBER(G297),G297&gt;0),292,"")</f>
        <v>292</v>
      </c>
      <c r="B298" s="4">
        <f>IF(A298="","",IF('Loan Inputs'!$B$14=12,DATE(YEAR('Loan Inputs'!$B$8),MONTH('Loan Inputs'!$B$8)+A298,DAY('Loan Inputs'!$B$8)),'Loan Inputs'!$B$8+A298*IF('Loan Inputs'!$B$14=26,14,7)))</f>
        <v>55213</v>
      </c>
      <c r="C298" s="2">
        <f t="shared" si="14"/>
        <v>60766.14128540684</v>
      </c>
      <c r="D298" s="2">
        <f>IF(A298="","",MIN('Loan Inputs'!$B$17,C298+E298)+H298)</f>
        <v>4311.533367807353</v>
      </c>
      <c r="E298" s="2">
        <f>IF(A298="","",C298*'Loan Inputs'!$B$15)</f>
        <v>323.57970234479143</v>
      </c>
      <c r="F298" s="2">
        <f t="shared" si="12"/>
        <v>3987.9536654625617</v>
      </c>
      <c r="G298" s="2">
        <f t="shared" si="13"/>
        <v>56778.187619944278</v>
      </c>
      <c r="H298" s="2">
        <f>IF(A298="","",MIN('Loan Inputs'!$B$18,MAX(0,C298+E298-'Loan Inputs'!$B$17)))</f>
        <v>250</v>
      </c>
    </row>
    <row r="299" spans="1:8" ht="22" customHeight="1">
      <c r="A299" s="1">
        <f>IF(AND('Loan Inputs'!$B$12,293&lt;=IF('Loan Inputs'!$B$12,'Loan Inputs'!$B$7,0)*'Loan Inputs'!$B$14+5*'Loan Inputs'!$B$14,ISNUMBER(G298),G298&gt;0),293,"")</f>
        <v>293</v>
      </c>
      <c r="B299" s="4">
        <f>IF(A299="","",IF('Loan Inputs'!$B$14=12,DATE(YEAR('Loan Inputs'!$B$8),MONTH('Loan Inputs'!$B$8)+A299,DAY('Loan Inputs'!$B$8)),'Loan Inputs'!$B$8+A299*IF('Loan Inputs'!$B$14=26,14,7)))</f>
        <v>55244</v>
      </c>
      <c r="C299" s="2">
        <f t="shared" si="14"/>
        <v>56778.187619944278</v>
      </c>
      <c r="D299" s="2">
        <f>IF(A299="","",MIN('Loan Inputs'!$B$17,C299+E299)+H299)</f>
        <v>4311.533367807353</v>
      </c>
      <c r="E299" s="2">
        <f>IF(A299="","",C299*'Loan Inputs'!$B$15)</f>
        <v>302.3438490762033</v>
      </c>
      <c r="F299" s="2">
        <f t="shared" si="12"/>
        <v>4009.1895187311497</v>
      </c>
      <c r="G299" s="2">
        <f t="shared" si="13"/>
        <v>52768.998101213125</v>
      </c>
      <c r="H299" s="2">
        <f>IF(A299="","",MIN('Loan Inputs'!$B$18,MAX(0,C299+E299-'Loan Inputs'!$B$17)))</f>
        <v>250</v>
      </c>
    </row>
    <row r="300" spans="1:8" ht="22" customHeight="1">
      <c r="A300" s="1">
        <f>IF(AND('Loan Inputs'!$B$12,294&lt;=IF('Loan Inputs'!$B$12,'Loan Inputs'!$B$7,0)*'Loan Inputs'!$B$14+5*'Loan Inputs'!$B$14,ISNUMBER(G299),G299&gt;0),294,"")</f>
        <v>294</v>
      </c>
      <c r="B300" s="4">
        <f>IF(A300="","",IF('Loan Inputs'!$B$14=12,DATE(YEAR('Loan Inputs'!$B$8),MONTH('Loan Inputs'!$B$8)+A300,DAY('Loan Inputs'!$B$8)),'Loan Inputs'!$B$8+A300*IF('Loan Inputs'!$B$14=26,14,7)))</f>
        <v>55274</v>
      </c>
      <c r="C300" s="2">
        <f t="shared" si="14"/>
        <v>52768.998101213125</v>
      </c>
      <c r="D300" s="2">
        <f>IF(A300="","",MIN('Loan Inputs'!$B$17,C300+E300)+H300)</f>
        <v>4311.533367807353</v>
      </c>
      <c r="E300" s="2">
        <f>IF(A300="","",C300*'Loan Inputs'!$B$15)</f>
        <v>280.9949148889599</v>
      </c>
      <c r="F300" s="2">
        <f t="shared" si="12"/>
        <v>4030.538452918393</v>
      </c>
      <c r="G300" s="2">
        <f t="shared" si="13"/>
        <v>48738.459648294731</v>
      </c>
      <c r="H300" s="2">
        <f>IF(A300="","",MIN('Loan Inputs'!$B$18,MAX(0,C300+E300-'Loan Inputs'!$B$17)))</f>
        <v>250</v>
      </c>
    </row>
    <row r="301" spans="1:8" ht="22" customHeight="1">
      <c r="A301" s="1">
        <f>IF(AND('Loan Inputs'!$B$12,295&lt;=IF('Loan Inputs'!$B$12,'Loan Inputs'!$B$7,0)*'Loan Inputs'!$B$14+5*'Loan Inputs'!$B$14,ISNUMBER(G300),G300&gt;0),295,"")</f>
        <v>295</v>
      </c>
      <c r="B301" s="4">
        <f>IF(A301="","",IF('Loan Inputs'!$B$14=12,DATE(YEAR('Loan Inputs'!$B$8),MONTH('Loan Inputs'!$B$8)+A301,DAY('Loan Inputs'!$B$8)),'Loan Inputs'!$B$8+A301*IF('Loan Inputs'!$B$14=26,14,7)))</f>
        <v>55305</v>
      </c>
      <c r="C301" s="2">
        <f t="shared" si="14"/>
        <v>48738.459648294731</v>
      </c>
      <c r="D301" s="2">
        <f>IF(A301="","",MIN('Loan Inputs'!$B$17,C301+E301)+H301)</f>
        <v>4311.533367807353</v>
      </c>
      <c r="E301" s="2">
        <f>IF(A301="","",C301*'Loan Inputs'!$B$15)</f>
        <v>259.53229762716944</v>
      </c>
      <c r="F301" s="2">
        <f t="shared" si="12"/>
        <v>4052.0010701801834</v>
      </c>
      <c r="G301" s="2">
        <f t="shared" si="13"/>
        <v>44686.458578114551</v>
      </c>
      <c r="H301" s="2">
        <f>IF(A301="","",MIN('Loan Inputs'!$B$18,MAX(0,C301+E301-'Loan Inputs'!$B$17)))</f>
        <v>250</v>
      </c>
    </row>
    <row r="302" spans="1:8" ht="22" customHeight="1">
      <c r="A302" s="1">
        <f>IF(AND('Loan Inputs'!$B$12,296&lt;=IF('Loan Inputs'!$B$12,'Loan Inputs'!$B$7,0)*'Loan Inputs'!$B$14+5*'Loan Inputs'!$B$14,ISNUMBER(G301),G301&gt;0),296,"")</f>
        <v>296</v>
      </c>
      <c r="B302" s="4">
        <f>IF(A302="","",IF('Loan Inputs'!$B$14=12,DATE(YEAR('Loan Inputs'!$B$8),MONTH('Loan Inputs'!$B$8)+A302,DAY('Loan Inputs'!$B$8)),'Loan Inputs'!$B$8+A302*IF('Loan Inputs'!$B$14=26,14,7)))</f>
        <v>55335</v>
      </c>
      <c r="C302" s="2">
        <f t="shared" si="14"/>
        <v>44686.458578114551</v>
      </c>
      <c r="D302" s="2">
        <f>IF(A302="","",MIN('Loan Inputs'!$B$17,C302+E302)+H302)</f>
        <v>4311.533367807353</v>
      </c>
      <c r="E302" s="2">
        <f>IF(A302="","",C302*'Loan Inputs'!$B$15)</f>
        <v>237.95539192845999</v>
      </c>
      <c r="F302" s="2">
        <f t="shared" si="12"/>
        <v>4073.5779758788931</v>
      </c>
      <c r="G302" s="2">
        <f t="shared" si="13"/>
        <v>40612.880602235658</v>
      </c>
      <c r="H302" s="2">
        <f>IF(A302="","",MIN('Loan Inputs'!$B$18,MAX(0,C302+E302-'Loan Inputs'!$B$17)))</f>
        <v>250</v>
      </c>
    </row>
    <row r="303" spans="1:8" ht="22" customHeight="1">
      <c r="A303" s="1">
        <f>IF(AND('Loan Inputs'!$B$12,297&lt;=IF('Loan Inputs'!$B$12,'Loan Inputs'!$B$7,0)*'Loan Inputs'!$B$14+5*'Loan Inputs'!$B$14,ISNUMBER(G302),G302&gt;0),297,"")</f>
        <v>297</v>
      </c>
      <c r="B303" s="4">
        <f>IF(A303="","",IF('Loan Inputs'!$B$14=12,DATE(YEAR('Loan Inputs'!$B$8),MONTH('Loan Inputs'!$B$8)+A303,DAY('Loan Inputs'!$B$8)),'Loan Inputs'!$B$8+A303*IF('Loan Inputs'!$B$14=26,14,7)))</f>
        <v>55366</v>
      </c>
      <c r="C303" s="2">
        <f t="shared" si="14"/>
        <v>40612.880602235658</v>
      </c>
      <c r="D303" s="2">
        <f>IF(A303="","",MIN('Loan Inputs'!$B$17,C303+E303)+H303)</f>
        <v>4311.533367807353</v>
      </c>
      <c r="E303" s="2">
        <f>IF(A303="","",C303*'Loan Inputs'!$B$15)</f>
        <v>216.26358920690487</v>
      </c>
      <c r="F303" s="2">
        <f t="shared" si="12"/>
        <v>4095.2697786004483</v>
      </c>
      <c r="G303" s="2">
        <f t="shared" si="13"/>
        <v>36517.610823635208</v>
      </c>
      <c r="H303" s="2">
        <f>IF(A303="","",MIN('Loan Inputs'!$B$18,MAX(0,C303+E303-'Loan Inputs'!$B$17)))</f>
        <v>250</v>
      </c>
    </row>
    <row r="304" spans="1:8" ht="22" customHeight="1">
      <c r="A304" s="1">
        <f>IF(AND('Loan Inputs'!$B$12,298&lt;=IF('Loan Inputs'!$B$12,'Loan Inputs'!$B$7,0)*'Loan Inputs'!$B$14+5*'Loan Inputs'!$B$14,ISNUMBER(G303),G303&gt;0),298,"")</f>
        <v>298</v>
      </c>
      <c r="B304" s="4">
        <f>IF(A304="","",IF('Loan Inputs'!$B$14=12,DATE(YEAR('Loan Inputs'!$B$8),MONTH('Loan Inputs'!$B$8)+A304,DAY('Loan Inputs'!$B$8)),'Loan Inputs'!$B$8+A304*IF('Loan Inputs'!$B$14=26,14,7)))</f>
        <v>55397</v>
      </c>
      <c r="C304" s="2">
        <f t="shared" si="14"/>
        <v>36517.610823635208</v>
      </c>
      <c r="D304" s="2">
        <f>IF(A304="","",MIN('Loan Inputs'!$B$17,C304+E304)+H304)</f>
        <v>4311.533367807353</v>
      </c>
      <c r="E304" s="2">
        <f>IF(A304="","",C304*'Loan Inputs'!$B$15)</f>
        <v>194.45627763585748</v>
      </c>
      <c r="F304" s="2">
        <f t="shared" si="12"/>
        <v>4117.0770901714959</v>
      </c>
      <c r="G304" s="2">
        <f t="shared" si="13"/>
        <v>32400.533733463712</v>
      </c>
      <c r="H304" s="2">
        <f>IF(A304="","",MIN('Loan Inputs'!$B$18,MAX(0,C304+E304-'Loan Inputs'!$B$17)))</f>
        <v>250</v>
      </c>
    </row>
    <row r="305" spans="1:8" ht="22" customHeight="1">
      <c r="A305" s="1">
        <f>IF(AND('Loan Inputs'!$B$12,299&lt;=IF('Loan Inputs'!$B$12,'Loan Inputs'!$B$7,0)*'Loan Inputs'!$B$14+5*'Loan Inputs'!$B$14,ISNUMBER(G304),G304&gt;0),299,"")</f>
        <v>299</v>
      </c>
      <c r="B305" s="4">
        <f>IF(A305="","",IF('Loan Inputs'!$B$14=12,DATE(YEAR('Loan Inputs'!$B$8),MONTH('Loan Inputs'!$B$8)+A305,DAY('Loan Inputs'!$B$8)),'Loan Inputs'!$B$8+A305*IF('Loan Inputs'!$B$14=26,14,7)))</f>
        <v>55427</v>
      </c>
      <c r="C305" s="2">
        <f t="shared" si="14"/>
        <v>32400.533733463712</v>
      </c>
      <c r="D305" s="2">
        <f>IF(A305="","",MIN('Loan Inputs'!$B$17,C305+E305)+H305)</f>
        <v>4311.533367807353</v>
      </c>
      <c r="E305" s="2">
        <f>IF(A305="","",C305*'Loan Inputs'!$B$15)</f>
        <v>172.53284213069426</v>
      </c>
      <c r="F305" s="2">
        <f t="shared" si="12"/>
        <v>4139.000525676659</v>
      </c>
      <c r="G305" s="2">
        <f t="shared" si="13"/>
        <v>28261.533207787052</v>
      </c>
      <c r="H305" s="2">
        <f>IF(A305="","",MIN('Loan Inputs'!$B$18,MAX(0,C305+E305-'Loan Inputs'!$B$17)))</f>
        <v>250</v>
      </c>
    </row>
    <row r="306" spans="1:8" ht="22" customHeight="1">
      <c r="A306" s="1">
        <f>IF(AND('Loan Inputs'!$B$12,300&lt;=IF('Loan Inputs'!$B$12,'Loan Inputs'!$B$7,0)*'Loan Inputs'!$B$14+5*'Loan Inputs'!$B$14,ISNUMBER(G305),G305&gt;0),300,"")</f>
        <v>300</v>
      </c>
      <c r="B306" s="4">
        <f>IF(A306="","",IF('Loan Inputs'!$B$14=12,DATE(YEAR('Loan Inputs'!$B$8),MONTH('Loan Inputs'!$B$8)+A306,DAY('Loan Inputs'!$B$8)),'Loan Inputs'!$B$8+A306*IF('Loan Inputs'!$B$14=26,14,7)))</f>
        <v>55458</v>
      </c>
      <c r="C306" s="2">
        <f t="shared" si="14"/>
        <v>28261.533207787052</v>
      </c>
      <c r="D306" s="2">
        <f>IF(A306="","",MIN('Loan Inputs'!$B$17,C306+E306)+H306)</f>
        <v>4311.533367807353</v>
      </c>
      <c r="E306" s="2">
        <f>IF(A306="","",C306*'Loan Inputs'!$B$15)</f>
        <v>150.49266433146605</v>
      </c>
      <c r="F306" s="2">
        <f t="shared" si="12"/>
        <v>4161.0407034758873</v>
      </c>
      <c r="G306" s="2">
        <f t="shared" si="13"/>
        <v>24100.492504311165</v>
      </c>
      <c r="H306" s="2">
        <f>IF(A306="","",MIN('Loan Inputs'!$B$18,MAX(0,C306+E306-'Loan Inputs'!$B$17)))</f>
        <v>250</v>
      </c>
    </row>
    <row r="307" spans="1:8" ht="22" customHeight="1">
      <c r="A307" s="1">
        <f>IF(AND('Loan Inputs'!$B$12,301&lt;=IF('Loan Inputs'!$B$12,'Loan Inputs'!$B$7,0)*'Loan Inputs'!$B$14+5*'Loan Inputs'!$B$14,ISNUMBER(G306),G306&gt;0),301,"")</f>
        <v>301</v>
      </c>
      <c r="B307" s="4">
        <f>IF(A307="","",IF('Loan Inputs'!$B$14=12,DATE(YEAR('Loan Inputs'!$B$8),MONTH('Loan Inputs'!$B$8)+A307,DAY('Loan Inputs'!$B$8)),'Loan Inputs'!$B$8+A307*IF('Loan Inputs'!$B$14=26,14,7)))</f>
        <v>55488</v>
      </c>
      <c r="C307" s="2">
        <f t="shared" si="14"/>
        <v>24100.492504311165</v>
      </c>
      <c r="D307" s="2">
        <f>IF(A307="","",MIN('Loan Inputs'!$B$17,C307+E307)+H307)</f>
        <v>4311.533367807353</v>
      </c>
      <c r="E307" s="2">
        <f>IF(A307="","",C307*'Loan Inputs'!$B$15)</f>
        <v>128.33512258545696</v>
      </c>
      <c r="F307" s="2">
        <f t="shared" si="12"/>
        <v>4183.1982452218963</v>
      </c>
      <c r="G307" s="2">
        <f t="shared" si="13"/>
        <v>19917.294259089271</v>
      </c>
      <c r="H307" s="2">
        <f>IF(A307="","",MIN('Loan Inputs'!$B$18,MAX(0,C307+E307-'Loan Inputs'!$B$17)))</f>
        <v>250</v>
      </c>
    </row>
    <row r="308" spans="1:8" ht="22" customHeight="1">
      <c r="A308" s="1">
        <f>IF(AND('Loan Inputs'!$B$12,302&lt;=IF('Loan Inputs'!$B$12,'Loan Inputs'!$B$7,0)*'Loan Inputs'!$B$14+5*'Loan Inputs'!$B$14,ISNUMBER(G307),G307&gt;0),302,"")</f>
        <v>302</v>
      </c>
      <c r="B308" s="4">
        <f>IF(A308="","",IF('Loan Inputs'!$B$14=12,DATE(YEAR('Loan Inputs'!$B$8),MONTH('Loan Inputs'!$B$8)+A308,DAY('Loan Inputs'!$B$8)),'Loan Inputs'!$B$8+A308*IF('Loan Inputs'!$B$14=26,14,7)))</f>
        <v>55519</v>
      </c>
      <c r="C308" s="2">
        <f t="shared" si="14"/>
        <v>19917.294259089271</v>
      </c>
      <c r="D308" s="2">
        <f>IF(A308="","",MIN('Loan Inputs'!$B$17,C308+E308)+H308)</f>
        <v>4311.533367807353</v>
      </c>
      <c r="E308" s="2">
        <f>IF(A308="","",C308*'Loan Inputs'!$B$15)</f>
        <v>106.05959192965037</v>
      </c>
      <c r="F308" s="2">
        <f t="shared" si="12"/>
        <v>4205.4737758777028</v>
      </c>
      <c r="G308" s="2">
        <f t="shared" si="13"/>
        <v>15711.820483211568</v>
      </c>
      <c r="H308" s="2">
        <f>IF(A308="","",MIN('Loan Inputs'!$B$18,MAX(0,C308+E308-'Loan Inputs'!$B$17)))</f>
        <v>250</v>
      </c>
    </row>
    <row r="309" spans="1:8" ht="22" customHeight="1">
      <c r="A309" s="1">
        <f>IF(AND('Loan Inputs'!$B$12,303&lt;=IF('Loan Inputs'!$B$12,'Loan Inputs'!$B$7,0)*'Loan Inputs'!$B$14+5*'Loan Inputs'!$B$14,ISNUMBER(G308),G308&gt;0),303,"")</f>
        <v>303</v>
      </c>
      <c r="B309" s="4">
        <f>IF(A309="","",IF('Loan Inputs'!$B$14=12,DATE(YEAR('Loan Inputs'!$B$8),MONTH('Loan Inputs'!$B$8)+A309,DAY('Loan Inputs'!$B$8)),'Loan Inputs'!$B$8+A309*IF('Loan Inputs'!$B$14=26,14,7)))</f>
        <v>55550</v>
      </c>
      <c r="C309" s="2">
        <f t="shared" si="14"/>
        <v>15711.820483211568</v>
      </c>
      <c r="D309" s="2">
        <f>IF(A309="","",MIN('Loan Inputs'!$B$17,C309+E309)+H309)</f>
        <v>4311.533367807353</v>
      </c>
      <c r="E309" s="2">
        <f>IF(A309="","",C309*'Loan Inputs'!$B$15)</f>
        <v>83.665444073101597</v>
      </c>
      <c r="F309" s="2">
        <f t="shared" si="12"/>
        <v>4227.8679237342512</v>
      </c>
      <c r="G309" s="2">
        <f t="shared" si="13"/>
        <v>11483.952559477317</v>
      </c>
      <c r="H309" s="2">
        <f>IF(A309="","",MIN('Loan Inputs'!$B$18,MAX(0,C309+E309-'Loan Inputs'!$B$17)))</f>
        <v>250</v>
      </c>
    </row>
    <row r="310" spans="1:8" ht="22" customHeight="1">
      <c r="A310" s="1">
        <f>IF(AND('Loan Inputs'!$B$12,304&lt;=IF('Loan Inputs'!$B$12,'Loan Inputs'!$B$7,0)*'Loan Inputs'!$B$14+5*'Loan Inputs'!$B$14,ISNUMBER(G309),G309&gt;0),304,"")</f>
        <v>304</v>
      </c>
      <c r="B310" s="4">
        <f>IF(A310="","",IF('Loan Inputs'!$B$14=12,DATE(YEAR('Loan Inputs'!$B$8),MONTH('Loan Inputs'!$B$8)+A310,DAY('Loan Inputs'!$B$8)),'Loan Inputs'!$B$8+A310*IF('Loan Inputs'!$B$14=26,14,7)))</f>
        <v>55579</v>
      </c>
      <c r="C310" s="2">
        <f t="shared" si="14"/>
        <v>11483.952559477317</v>
      </c>
      <c r="D310" s="2">
        <f>IF(A310="","",MIN('Loan Inputs'!$B$17,C310+E310)+H310)</f>
        <v>4311.533367807353</v>
      </c>
      <c r="E310" s="2">
        <f>IF(A310="","",C310*'Loan Inputs'!$B$15)</f>
        <v>61.152047379216711</v>
      </c>
      <c r="F310" s="2">
        <f t="shared" si="12"/>
        <v>4250.381320428136</v>
      </c>
      <c r="G310" s="2">
        <f t="shared" si="13"/>
        <v>7233.5712390491808</v>
      </c>
      <c r="H310" s="2">
        <f>IF(A310="","",MIN('Loan Inputs'!$B$18,MAX(0,C310+E310-'Loan Inputs'!$B$17)))</f>
        <v>250</v>
      </c>
    </row>
    <row r="311" spans="1:8" ht="22" customHeight="1">
      <c r="A311" s="1">
        <f>IF(AND('Loan Inputs'!$B$12,305&lt;=IF('Loan Inputs'!$B$12,'Loan Inputs'!$B$7,0)*'Loan Inputs'!$B$14+5*'Loan Inputs'!$B$14,ISNUMBER(G310),G310&gt;0),305,"")</f>
        <v>305</v>
      </c>
      <c r="B311" s="4">
        <f>IF(A311="","",IF('Loan Inputs'!$B$14=12,DATE(YEAR('Loan Inputs'!$B$8),MONTH('Loan Inputs'!$B$8)+A311,DAY('Loan Inputs'!$B$8)),'Loan Inputs'!$B$8+A311*IF('Loan Inputs'!$B$14=26,14,7)))</f>
        <v>55610</v>
      </c>
      <c r="C311" s="2">
        <f t="shared" si="14"/>
        <v>7233.5712390491808</v>
      </c>
      <c r="D311" s="2">
        <f>IF(A311="","",MIN('Loan Inputs'!$B$17,C311+E311)+H311)</f>
        <v>4311.533367807353</v>
      </c>
      <c r="E311" s="2">
        <f>IF(A311="","",C311*'Loan Inputs'!$B$15)</f>
        <v>38.518766847936888</v>
      </c>
      <c r="F311" s="2">
        <f t="shared" si="12"/>
        <v>4273.0146009594164</v>
      </c>
      <c r="G311" s="2">
        <f t="shared" si="13"/>
        <v>2960.5566380897644</v>
      </c>
      <c r="H311" s="2">
        <f>IF(A311="","",MIN('Loan Inputs'!$B$18,MAX(0,C311+E311-'Loan Inputs'!$B$17)))</f>
        <v>250</v>
      </c>
    </row>
    <row r="312" spans="1:8" ht="22" customHeight="1">
      <c r="A312" s="1">
        <f>IF(AND('Loan Inputs'!$B$12,306&lt;=IF('Loan Inputs'!$B$12,'Loan Inputs'!$B$7,0)*'Loan Inputs'!$B$14+5*'Loan Inputs'!$B$14,ISNUMBER(G311),G311&gt;0),306,"")</f>
        <v>306</v>
      </c>
      <c r="B312" s="4">
        <f>IF(A312="","",IF('Loan Inputs'!$B$14=12,DATE(YEAR('Loan Inputs'!$B$8),MONTH('Loan Inputs'!$B$8)+A312,DAY('Loan Inputs'!$B$8)),'Loan Inputs'!$B$8+A312*IF('Loan Inputs'!$B$14=26,14,7)))</f>
        <v>55640</v>
      </c>
      <c r="C312" s="2">
        <f t="shared" si="14"/>
        <v>2960.5566380897644</v>
      </c>
      <c r="D312" s="2">
        <f>IF(A312="","",MIN('Loan Inputs'!$B$17,C312+E312)+H312)</f>
        <v>2976.3216021875924</v>
      </c>
      <c r="E312" s="2">
        <f>IF(A312="","",C312*'Loan Inputs'!$B$15)</f>
        <v>15.764964097827995</v>
      </c>
      <c r="F312" s="2">
        <f t="shared" si="12"/>
        <v>2960.5566380897644</v>
      </c>
      <c r="G312" s="2">
        <f t="shared" si="13"/>
        <v>0</v>
      </c>
      <c r="H312" s="2">
        <f>IF(A312="","",MIN('Loan Inputs'!$B$18,MAX(0,C312+E312-'Loan Inputs'!$B$17)))</f>
        <v>0</v>
      </c>
    </row>
    <row r="313" spans="1:8" ht="22" customHeight="1">
      <c r="A313" s="1" t="str">
        <f>IF(AND('Loan Inputs'!$B$12,307&lt;=IF('Loan Inputs'!$B$12,'Loan Inputs'!$B$7,0)*'Loan Inputs'!$B$14+5*'Loan Inputs'!$B$14,ISNUMBER(G312),G312&gt;0),307,"")</f>
        <v/>
      </c>
      <c r="B313" s="4" t="str">
        <f>IF(A313="","",IF('Loan Inputs'!$B$14=12,DATE(YEAR('Loan Inputs'!$B$8),MONTH('Loan Inputs'!$B$8)+A313,DAY('Loan Inputs'!$B$8)),'Loan Inputs'!$B$8+A313*IF('Loan Inputs'!$B$14=26,14,7)))</f>
        <v/>
      </c>
      <c r="C313" s="2" t="str">
        <f t="shared" si="14"/>
        <v/>
      </c>
      <c r="D313" s="2" t="str">
        <f>IF(A313="","",MIN('Loan Inputs'!$B$17,C313+E313)+H313)</f>
        <v/>
      </c>
      <c r="E313" s="2" t="str">
        <f>IF(A313="","",C313*'Loan Inputs'!$B$15)</f>
        <v/>
      </c>
      <c r="F313" s="2" t="str">
        <f t="shared" si="12"/>
        <v/>
      </c>
      <c r="G313" s="2" t="str">
        <f t="shared" si="13"/>
        <v/>
      </c>
      <c r="H313" s="2" t="str">
        <f>IF(A313="","",MIN('Loan Inputs'!$B$18,MAX(0,C313+E313-'Loan Inputs'!$B$17)))</f>
        <v/>
      </c>
    </row>
    <row r="314" spans="1:8" ht="22" customHeight="1">
      <c r="A314" s="1" t="str">
        <f>IF(AND('Loan Inputs'!$B$12,308&lt;=IF('Loan Inputs'!$B$12,'Loan Inputs'!$B$7,0)*'Loan Inputs'!$B$14+5*'Loan Inputs'!$B$14,ISNUMBER(G313),G313&gt;0),308,"")</f>
        <v/>
      </c>
      <c r="B314" s="4" t="str">
        <f>IF(A314="","",IF('Loan Inputs'!$B$14=12,DATE(YEAR('Loan Inputs'!$B$8),MONTH('Loan Inputs'!$B$8)+A314,DAY('Loan Inputs'!$B$8)),'Loan Inputs'!$B$8+A314*IF('Loan Inputs'!$B$14=26,14,7)))</f>
        <v/>
      </c>
      <c r="C314" s="2" t="str">
        <f t="shared" si="14"/>
        <v/>
      </c>
      <c r="D314" s="2" t="str">
        <f>IF(A314="","",MIN('Loan Inputs'!$B$17,C314+E314)+H314)</f>
        <v/>
      </c>
      <c r="E314" s="2" t="str">
        <f>IF(A314="","",C314*'Loan Inputs'!$B$15)</f>
        <v/>
      </c>
      <c r="F314" s="2" t="str">
        <f t="shared" si="12"/>
        <v/>
      </c>
      <c r="G314" s="2" t="str">
        <f t="shared" si="13"/>
        <v/>
      </c>
      <c r="H314" s="2" t="str">
        <f>IF(A314="","",MIN('Loan Inputs'!$B$18,MAX(0,C314+E314-'Loan Inputs'!$B$17)))</f>
        <v/>
      </c>
    </row>
    <row r="315" spans="1:8" ht="22" customHeight="1">
      <c r="A315" s="1" t="str">
        <f>IF(AND('Loan Inputs'!$B$12,309&lt;=IF('Loan Inputs'!$B$12,'Loan Inputs'!$B$7,0)*'Loan Inputs'!$B$14+5*'Loan Inputs'!$B$14,ISNUMBER(G314),G314&gt;0),309,"")</f>
        <v/>
      </c>
      <c r="B315" s="4" t="str">
        <f>IF(A315="","",IF('Loan Inputs'!$B$14=12,DATE(YEAR('Loan Inputs'!$B$8),MONTH('Loan Inputs'!$B$8)+A315,DAY('Loan Inputs'!$B$8)),'Loan Inputs'!$B$8+A315*IF('Loan Inputs'!$B$14=26,14,7)))</f>
        <v/>
      </c>
      <c r="C315" s="2" t="str">
        <f t="shared" si="14"/>
        <v/>
      </c>
      <c r="D315" s="2" t="str">
        <f>IF(A315="","",MIN('Loan Inputs'!$B$17,C315+E315)+H315)</f>
        <v/>
      </c>
      <c r="E315" s="2" t="str">
        <f>IF(A315="","",C315*'Loan Inputs'!$B$15)</f>
        <v/>
      </c>
      <c r="F315" s="2" t="str">
        <f t="shared" si="12"/>
        <v/>
      </c>
      <c r="G315" s="2" t="str">
        <f t="shared" si="13"/>
        <v/>
      </c>
      <c r="H315" s="2" t="str">
        <f>IF(A315="","",MIN('Loan Inputs'!$B$18,MAX(0,C315+E315-'Loan Inputs'!$B$17)))</f>
        <v/>
      </c>
    </row>
    <row r="316" spans="1:8" ht="22" customHeight="1">
      <c r="A316" s="1" t="str">
        <f>IF(AND('Loan Inputs'!$B$12,310&lt;=IF('Loan Inputs'!$B$12,'Loan Inputs'!$B$7,0)*'Loan Inputs'!$B$14+5*'Loan Inputs'!$B$14,ISNUMBER(G315),G315&gt;0),310,"")</f>
        <v/>
      </c>
      <c r="B316" s="4" t="str">
        <f>IF(A316="","",IF('Loan Inputs'!$B$14=12,DATE(YEAR('Loan Inputs'!$B$8),MONTH('Loan Inputs'!$B$8)+A316,DAY('Loan Inputs'!$B$8)),'Loan Inputs'!$B$8+A316*IF('Loan Inputs'!$B$14=26,14,7)))</f>
        <v/>
      </c>
      <c r="C316" s="2" t="str">
        <f t="shared" si="14"/>
        <v/>
      </c>
      <c r="D316" s="2" t="str">
        <f>IF(A316="","",MIN('Loan Inputs'!$B$17,C316+E316)+H316)</f>
        <v/>
      </c>
      <c r="E316" s="2" t="str">
        <f>IF(A316="","",C316*'Loan Inputs'!$B$15)</f>
        <v/>
      </c>
      <c r="F316" s="2" t="str">
        <f t="shared" si="12"/>
        <v/>
      </c>
      <c r="G316" s="2" t="str">
        <f t="shared" si="13"/>
        <v/>
      </c>
      <c r="H316" s="2" t="str">
        <f>IF(A316="","",MIN('Loan Inputs'!$B$18,MAX(0,C316+E316-'Loan Inputs'!$B$17)))</f>
        <v/>
      </c>
    </row>
    <row r="317" spans="1:8" ht="22" customHeight="1">
      <c r="A317" s="1" t="str">
        <f>IF(AND('Loan Inputs'!$B$12,311&lt;=IF('Loan Inputs'!$B$12,'Loan Inputs'!$B$7,0)*'Loan Inputs'!$B$14+5*'Loan Inputs'!$B$14,ISNUMBER(G316),G316&gt;0),311,"")</f>
        <v/>
      </c>
      <c r="B317" s="4" t="str">
        <f>IF(A317="","",IF('Loan Inputs'!$B$14=12,DATE(YEAR('Loan Inputs'!$B$8),MONTH('Loan Inputs'!$B$8)+A317,DAY('Loan Inputs'!$B$8)),'Loan Inputs'!$B$8+A317*IF('Loan Inputs'!$B$14=26,14,7)))</f>
        <v/>
      </c>
      <c r="C317" s="2" t="str">
        <f t="shared" si="14"/>
        <v/>
      </c>
      <c r="D317" s="2" t="str">
        <f>IF(A317="","",MIN('Loan Inputs'!$B$17,C317+E317)+H317)</f>
        <v/>
      </c>
      <c r="E317" s="2" t="str">
        <f>IF(A317="","",C317*'Loan Inputs'!$B$15)</f>
        <v/>
      </c>
      <c r="F317" s="2" t="str">
        <f t="shared" si="12"/>
        <v/>
      </c>
      <c r="G317" s="2" t="str">
        <f t="shared" si="13"/>
        <v/>
      </c>
      <c r="H317" s="2" t="str">
        <f>IF(A317="","",MIN('Loan Inputs'!$B$18,MAX(0,C317+E317-'Loan Inputs'!$B$17)))</f>
        <v/>
      </c>
    </row>
    <row r="318" spans="1:8" ht="22" customHeight="1">
      <c r="A318" s="1" t="str">
        <f>IF(AND('Loan Inputs'!$B$12,312&lt;=IF('Loan Inputs'!$B$12,'Loan Inputs'!$B$7,0)*'Loan Inputs'!$B$14+5*'Loan Inputs'!$B$14,ISNUMBER(G317),G317&gt;0),312,"")</f>
        <v/>
      </c>
      <c r="B318" s="4" t="str">
        <f>IF(A318="","",IF('Loan Inputs'!$B$14=12,DATE(YEAR('Loan Inputs'!$B$8),MONTH('Loan Inputs'!$B$8)+A318,DAY('Loan Inputs'!$B$8)),'Loan Inputs'!$B$8+A318*IF('Loan Inputs'!$B$14=26,14,7)))</f>
        <v/>
      </c>
      <c r="C318" s="2" t="str">
        <f t="shared" si="14"/>
        <v/>
      </c>
      <c r="D318" s="2" t="str">
        <f>IF(A318="","",MIN('Loan Inputs'!$B$17,C318+E318)+H318)</f>
        <v/>
      </c>
      <c r="E318" s="2" t="str">
        <f>IF(A318="","",C318*'Loan Inputs'!$B$15)</f>
        <v/>
      </c>
      <c r="F318" s="2" t="str">
        <f t="shared" si="12"/>
        <v/>
      </c>
      <c r="G318" s="2" t="str">
        <f t="shared" si="13"/>
        <v/>
      </c>
      <c r="H318" s="2" t="str">
        <f>IF(A318="","",MIN('Loan Inputs'!$B$18,MAX(0,C318+E318-'Loan Inputs'!$B$17)))</f>
        <v/>
      </c>
    </row>
    <row r="319" spans="1:8" ht="22" customHeight="1">
      <c r="A319" s="1" t="str">
        <f>IF(AND('Loan Inputs'!$B$12,313&lt;=IF('Loan Inputs'!$B$12,'Loan Inputs'!$B$7,0)*'Loan Inputs'!$B$14+5*'Loan Inputs'!$B$14,ISNUMBER(G318),G318&gt;0),313,"")</f>
        <v/>
      </c>
      <c r="B319" s="4" t="str">
        <f>IF(A319="","",IF('Loan Inputs'!$B$14=12,DATE(YEAR('Loan Inputs'!$B$8),MONTH('Loan Inputs'!$B$8)+A319,DAY('Loan Inputs'!$B$8)),'Loan Inputs'!$B$8+A319*IF('Loan Inputs'!$B$14=26,14,7)))</f>
        <v/>
      </c>
      <c r="C319" s="2" t="str">
        <f t="shared" si="14"/>
        <v/>
      </c>
      <c r="D319" s="2" t="str">
        <f>IF(A319="","",MIN('Loan Inputs'!$B$17,C319+E319)+H319)</f>
        <v/>
      </c>
      <c r="E319" s="2" t="str">
        <f>IF(A319="","",C319*'Loan Inputs'!$B$15)</f>
        <v/>
      </c>
      <c r="F319" s="2" t="str">
        <f t="shared" si="12"/>
        <v/>
      </c>
      <c r="G319" s="2" t="str">
        <f t="shared" si="13"/>
        <v/>
      </c>
      <c r="H319" s="2" t="str">
        <f>IF(A319="","",MIN('Loan Inputs'!$B$18,MAX(0,C319+E319-'Loan Inputs'!$B$17)))</f>
        <v/>
      </c>
    </row>
    <row r="320" spans="1:8" ht="22" customHeight="1">
      <c r="A320" s="1" t="str">
        <f>IF(AND('Loan Inputs'!$B$12,314&lt;=IF('Loan Inputs'!$B$12,'Loan Inputs'!$B$7,0)*'Loan Inputs'!$B$14+5*'Loan Inputs'!$B$14,ISNUMBER(G319),G319&gt;0),314,"")</f>
        <v/>
      </c>
      <c r="B320" s="4" t="str">
        <f>IF(A320="","",IF('Loan Inputs'!$B$14=12,DATE(YEAR('Loan Inputs'!$B$8),MONTH('Loan Inputs'!$B$8)+A320,DAY('Loan Inputs'!$B$8)),'Loan Inputs'!$B$8+A320*IF('Loan Inputs'!$B$14=26,14,7)))</f>
        <v/>
      </c>
      <c r="C320" s="2" t="str">
        <f t="shared" si="14"/>
        <v/>
      </c>
      <c r="D320" s="2" t="str">
        <f>IF(A320="","",MIN('Loan Inputs'!$B$17,C320+E320)+H320)</f>
        <v/>
      </c>
      <c r="E320" s="2" t="str">
        <f>IF(A320="","",C320*'Loan Inputs'!$B$15)</f>
        <v/>
      </c>
      <c r="F320" s="2" t="str">
        <f t="shared" si="12"/>
        <v/>
      </c>
      <c r="G320" s="2" t="str">
        <f t="shared" si="13"/>
        <v/>
      </c>
      <c r="H320" s="2" t="str">
        <f>IF(A320="","",MIN('Loan Inputs'!$B$18,MAX(0,C320+E320-'Loan Inputs'!$B$17)))</f>
        <v/>
      </c>
    </row>
    <row r="321" spans="1:8" ht="22" customHeight="1">
      <c r="A321" s="1" t="str">
        <f>IF(AND('Loan Inputs'!$B$12,315&lt;=IF('Loan Inputs'!$B$12,'Loan Inputs'!$B$7,0)*'Loan Inputs'!$B$14+5*'Loan Inputs'!$B$14,ISNUMBER(G320),G320&gt;0),315,"")</f>
        <v/>
      </c>
      <c r="B321" s="4" t="str">
        <f>IF(A321="","",IF('Loan Inputs'!$B$14=12,DATE(YEAR('Loan Inputs'!$B$8),MONTH('Loan Inputs'!$B$8)+A321,DAY('Loan Inputs'!$B$8)),'Loan Inputs'!$B$8+A321*IF('Loan Inputs'!$B$14=26,14,7)))</f>
        <v/>
      </c>
      <c r="C321" s="2" t="str">
        <f t="shared" si="14"/>
        <v/>
      </c>
      <c r="D321" s="2" t="str">
        <f>IF(A321="","",MIN('Loan Inputs'!$B$17,C321+E321)+H321)</f>
        <v/>
      </c>
      <c r="E321" s="2" t="str">
        <f>IF(A321="","",C321*'Loan Inputs'!$B$15)</f>
        <v/>
      </c>
      <c r="F321" s="2" t="str">
        <f t="shared" si="12"/>
        <v/>
      </c>
      <c r="G321" s="2" t="str">
        <f t="shared" si="13"/>
        <v/>
      </c>
      <c r="H321" s="2" t="str">
        <f>IF(A321="","",MIN('Loan Inputs'!$B$18,MAX(0,C321+E321-'Loan Inputs'!$B$17)))</f>
        <v/>
      </c>
    </row>
    <row r="322" spans="1:8" ht="22" customHeight="1">
      <c r="A322" s="1" t="str">
        <f>IF(AND('Loan Inputs'!$B$12,316&lt;=IF('Loan Inputs'!$B$12,'Loan Inputs'!$B$7,0)*'Loan Inputs'!$B$14+5*'Loan Inputs'!$B$14,ISNUMBER(G321),G321&gt;0),316,"")</f>
        <v/>
      </c>
      <c r="B322" s="4" t="str">
        <f>IF(A322="","",IF('Loan Inputs'!$B$14=12,DATE(YEAR('Loan Inputs'!$B$8),MONTH('Loan Inputs'!$B$8)+A322,DAY('Loan Inputs'!$B$8)),'Loan Inputs'!$B$8+A322*IF('Loan Inputs'!$B$14=26,14,7)))</f>
        <v/>
      </c>
      <c r="C322" s="2" t="str">
        <f t="shared" si="14"/>
        <v/>
      </c>
      <c r="D322" s="2" t="str">
        <f>IF(A322="","",MIN('Loan Inputs'!$B$17,C322+E322)+H322)</f>
        <v/>
      </c>
      <c r="E322" s="2" t="str">
        <f>IF(A322="","",C322*'Loan Inputs'!$B$15)</f>
        <v/>
      </c>
      <c r="F322" s="2" t="str">
        <f t="shared" si="12"/>
        <v/>
      </c>
      <c r="G322" s="2" t="str">
        <f t="shared" si="13"/>
        <v/>
      </c>
      <c r="H322" s="2" t="str">
        <f>IF(A322="","",MIN('Loan Inputs'!$B$18,MAX(0,C322+E322-'Loan Inputs'!$B$17)))</f>
        <v/>
      </c>
    </row>
    <row r="323" spans="1:8" ht="22" customHeight="1">
      <c r="A323" s="1" t="str">
        <f>IF(AND('Loan Inputs'!$B$12,317&lt;=IF('Loan Inputs'!$B$12,'Loan Inputs'!$B$7,0)*'Loan Inputs'!$B$14+5*'Loan Inputs'!$B$14,ISNUMBER(G322),G322&gt;0),317,"")</f>
        <v/>
      </c>
      <c r="B323" s="4" t="str">
        <f>IF(A323="","",IF('Loan Inputs'!$B$14=12,DATE(YEAR('Loan Inputs'!$B$8),MONTH('Loan Inputs'!$B$8)+A323,DAY('Loan Inputs'!$B$8)),'Loan Inputs'!$B$8+A323*IF('Loan Inputs'!$B$14=26,14,7)))</f>
        <v/>
      </c>
      <c r="C323" s="2" t="str">
        <f t="shared" si="14"/>
        <v/>
      </c>
      <c r="D323" s="2" t="str">
        <f>IF(A323="","",MIN('Loan Inputs'!$B$17,C323+E323)+H323)</f>
        <v/>
      </c>
      <c r="E323" s="2" t="str">
        <f>IF(A323="","",C323*'Loan Inputs'!$B$15)</f>
        <v/>
      </c>
      <c r="F323" s="2" t="str">
        <f t="shared" si="12"/>
        <v/>
      </c>
      <c r="G323" s="2" t="str">
        <f t="shared" si="13"/>
        <v/>
      </c>
      <c r="H323" s="2" t="str">
        <f>IF(A323="","",MIN('Loan Inputs'!$B$18,MAX(0,C323+E323-'Loan Inputs'!$B$17)))</f>
        <v/>
      </c>
    </row>
    <row r="324" spans="1:8" ht="22" customHeight="1">
      <c r="A324" s="1" t="str">
        <f>IF(AND('Loan Inputs'!$B$12,318&lt;=IF('Loan Inputs'!$B$12,'Loan Inputs'!$B$7,0)*'Loan Inputs'!$B$14+5*'Loan Inputs'!$B$14,ISNUMBER(G323),G323&gt;0),318,"")</f>
        <v/>
      </c>
      <c r="B324" s="4" t="str">
        <f>IF(A324="","",IF('Loan Inputs'!$B$14=12,DATE(YEAR('Loan Inputs'!$B$8),MONTH('Loan Inputs'!$B$8)+A324,DAY('Loan Inputs'!$B$8)),'Loan Inputs'!$B$8+A324*IF('Loan Inputs'!$B$14=26,14,7)))</f>
        <v/>
      </c>
      <c r="C324" s="2" t="str">
        <f t="shared" si="14"/>
        <v/>
      </c>
      <c r="D324" s="2" t="str">
        <f>IF(A324="","",MIN('Loan Inputs'!$B$17,C324+E324)+H324)</f>
        <v/>
      </c>
      <c r="E324" s="2" t="str">
        <f>IF(A324="","",C324*'Loan Inputs'!$B$15)</f>
        <v/>
      </c>
      <c r="F324" s="2" t="str">
        <f t="shared" si="12"/>
        <v/>
      </c>
      <c r="G324" s="2" t="str">
        <f t="shared" si="13"/>
        <v/>
      </c>
      <c r="H324" s="2" t="str">
        <f>IF(A324="","",MIN('Loan Inputs'!$B$18,MAX(0,C324+E324-'Loan Inputs'!$B$17)))</f>
        <v/>
      </c>
    </row>
    <row r="325" spans="1:8" ht="22" customHeight="1">
      <c r="A325" s="1" t="str">
        <f>IF(AND('Loan Inputs'!$B$12,319&lt;=IF('Loan Inputs'!$B$12,'Loan Inputs'!$B$7,0)*'Loan Inputs'!$B$14+5*'Loan Inputs'!$B$14,ISNUMBER(G324),G324&gt;0),319,"")</f>
        <v/>
      </c>
      <c r="B325" s="4" t="str">
        <f>IF(A325="","",IF('Loan Inputs'!$B$14=12,DATE(YEAR('Loan Inputs'!$B$8),MONTH('Loan Inputs'!$B$8)+A325,DAY('Loan Inputs'!$B$8)),'Loan Inputs'!$B$8+A325*IF('Loan Inputs'!$B$14=26,14,7)))</f>
        <v/>
      </c>
      <c r="C325" s="2" t="str">
        <f t="shared" si="14"/>
        <v/>
      </c>
      <c r="D325" s="2" t="str">
        <f>IF(A325="","",MIN('Loan Inputs'!$B$17,C325+E325)+H325)</f>
        <v/>
      </c>
      <c r="E325" s="2" t="str">
        <f>IF(A325="","",C325*'Loan Inputs'!$B$15)</f>
        <v/>
      </c>
      <c r="F325" s="2" t="str">
        <f t="shared" si="12"/>
        <v/>
      </c>
      <c r="G325" s="2" t="str">
        <f t="shared" si="13"/>
        <v/>
      </c>
      <c r="H325" s="2" t="str">
        <f>IF(A325="","",MIN('Loan Inputs'!$B$18,MAX(0,C325+E325-'Loan Inputs'!$B$17)))</f>
        <v/>
      </c>
    </row>
    <row r="326" spans="1:8" ht="22" customHeight="1">
      <c r="A326" s="1" t="str">
        <f>IF(AND('Loan Inputs'!$B$12,320&lt;=IF('Loan Inputs'!$B$12,'Loan Inputs'!$B$7,0)*'Loan Inputs'!$B$14+5*'Loan Inputs'!$B$14,ISNUMBER(G325),G325&gt;0),320,"")</f>
        <v/>
      </c>
      <c r="B326" s="4" t="str">
        <f>IF(A326="","",IF('Loan Inputs'!$B$14=12,DATE(YEAR('Loan Inputs'!$B$8),MONTH('Loan Inputs'!$B$8)+A326,DAY('Loan Inputs'!$B$8)),'Loan Inputs'!$B$8+A326*IF('Loan Inputs'!$B$14=26,14,7)))</f>
        <v/>
      </c>
      <c r="C326" s="2" t="str">
        <f t="shared" si="14"/>
        <v/>
      </c>
      <c r="D326" s="2" t="str">
        <f>IF(A326="","",MIN('Loan Inputs'!$B$17,C326+E326)+H326)</f>
        <v/>
      </c>
      <c r="E326" s="2" t="str">
        <f>IF(A326="","",C326*'Loan Inputs'!$B$15)</f>
        <v/>
      </c>
      <c r="F326" s="2" t="str">
        <f t="shared" si="12"/>
        <v/>
      </c>
      <c r="G326" s="2" t="str">
        <f t="shared" si="13"/>
        <v/>
      </c>
      <c r="H326" s="2" t="str">
        <f>IF(A326="","",MIN('Loan Inputs'!$B$18,MAX(0,C326+E326-'Loan Inputs'!$B$17)))</f>
        <v/>
      </c>
    </row>
    <row r="327" spans="1:8" ht="22" customHeight="1">
      <c r="A327" s="1" t="str">
        <f>IF(AND('Loan Inputs'!$B$12,321&lt;=IF('Loan Inputs'!$B$12,'Loan Inputs'!$B$7,0)*'Loan Inputs'!$B$14+5*'Loan Inputs'!$B$14,ISNUMBER(G326),G326&gt;0),321,"")</f>
        <v/>
      </c>
      <c r="B327" s="4" t="str">
        <f>IF(A327="","",IF('Loan Inputs'!$B$14=12,DATE(YEAR('Loan Inputs'!$B$8),MONTH('Loan Inputs'!$B$8)+A327,DAY('Loan Inputs'!$B$8)),'Loan Inputs'!$B$8+A327*IF('Loan Inputs'!$B$14=26,14,7)))</f>
        <v/>
      </c>
      <c r="C327" s="2" t="str">
        <f t="shared" si="14"/>
        <v/>
      </c>
      <c r="D327" s="2" t="str">
        <f>IF(A327="","",MIN('Loan Inputs'!$B$17,C327+E327)+H327)</f>
        <v/>
      </c>
      <c r="E327" s="2" t="str">
        <f>IF(A327="","",C327*'Loan Inputs'!$B$15)</f>
        <v/>
      </c>
      <c r="F327" s="2" t="str">
        <f t="shared" ref="F327:F390" si="15">IF(A327="","",MIN(C327,D327-E327))</f>
        <v/>
      </c>
      <c r="G327" s="2" t="str">
        <f t="shared" ref="G327:G390" si="16">IF(A327="","",IF(C327-F327&lt;0.0000001,0,MAX(0,C327-F327)))</f>
        <v/>
      </c>
      <c r="H327" s="2" t="str">
        <f>IF(A327="","",MIN('Loan Inputs'!$B$18,MAX(0,C327+E327-'Loan Inputs'!$B$17)))</f>
        <v/>
      </c>
    </row>
    <row r="328" spans="1:8" ht="22" customHeight="1">
      <c r="A328" s="1" t="str">
        <f>IF(AND('Loan Inputs'!$B$12,322&lt;=IF('Loan Inputs'!$B$12,'Loan Inputs'!$B$7,0)*'Loan Inputs'!$B$14+5*'Loan Inputs'!$B$14,ISNUMBER(G327),G327&gt;0),322,"")</f>
        <v/>
      </c>
      <c r="B328" s="4" t="str">
        <f>IF(A328="","",IF('Loan Inputs'!$B$14=12,DATE(YEAR('Loan Inputs'!$B$8),MONTH('Loan Inputs'!$B$8)+A328,DAY('Loan Inputs'!$B$8)),'Loan Inputs'!$B$8+A328*IF('Loan Inputs'!$B$14=26,14,7)))</f>
        <v/>
      </c>
      <c r="C328" s="2" t="str">
        <f t="shared" ref="C328:C391" si="17">IF(A328="","",G327)</f>
        <v/>
      </c>
      <c r="D328" s="2" t="str">
        <f>IF(A328="","",MIN('Loan Inputs'!$B$17,C328+E328)+H328)</f>
        <v/>
      </c>
      <c r="E328" s="2" t="str">
        <f>IF(A328="","",C328*'Loan Inputs'!$B$15)</f>
        <v/>
      </c>
      <c r="F328" s="2" t="str">
        <f t="shared" si="15"/>
        <v/>
      </c>
      <c r="G328" s="2" t="str">
        <f t="shared" si="16"/>
        <v/>
      </c>
      <c r="H328" s="2" t="str">
        <f>IF(A328="","",MIN('Loan Inputs'!$B$18,MAX(0,C328+E328-'Loan Inputs'!$B$17)))</f>
        <v/>
      </c>
    </row>
    <row r="329" spans="1:8" ht="22" customHeight="1">
      <c r="A329" s="1" t="str">
        <f>IF(AND('Loan Inputs'!$B$12,323&lt;=IF('Loan Inputs'!$B$12,'Loan Inputs'!$B$7,0)*'Loan Inputs'!$B$14+5*'Loan Inputs'!$B$14,ISNUMBER(G328),G328&gt;0),323,"")</f>
        <v/>
      </c>
      <c r="B329" s="4" t="str">
        <f>IF(A329="","",IF('Loan Inputs'!$B$14=12,DATE(YEAR('Loan Inputs'!$B$8),MONTH('Loan Inputs'!$B$8)+A329,DAY('Loan Inputs'!$B$8)),'Loan Inputs'!$B$8+A329*IF('Loan Inputs'!$B$14=26,14,7)))</f>
        <v/>
      </c>
      <c r="C329" s="2" t="str">
        <f t="shared" si="17"/>
        <v/>
      </c>
      <c r="D329" s="2" t="str">
        <f>IF(A329="","",MIN('Loan Inputs'!$B$17,C329+E329)+H329)</f>
        <v/>
      </c>
      <c r="E329" s="2" t="str">
        <f>IF(A329="","",C329*'Loan Inputs'!$B$15)</f>
        <v/>
      </c>
      <c r="F329" s="2" t="str">
        <f t="shared" si="15"/>
        <v/>
      </c>
      <c r="G329" s="2" t="str">
        <f t="shared" si="16"/>
        <v/>
      </c>
      <c r="H329" s="2" t="str">
        <f>IF(A329="","",MIN('Loan Inputs'!$B$18,MAX(0,C329+E329-'Loan Inputs'!$B$17)))</f>
        <v/>
      </c>
    </row>
    <row r="330" spans="1:8" ht="22" customHeight="1">
      <c r="A330" s="1" t="str">
        <f>IF(AND('Loan Inputs'!$B$12,324&lt;=IF('Loan Inputs'!$B$12,'Loan Inputs'!$B$7,0)*'Loan Inputs'!$B$14+5*'Loan Inputs'!$B$14,ISNUMBER(G329),G329&gt;0),324,"")</f>
        <v/>
      </c>
      <c r="B330" s="4" t="str">
        <f>IF(A330="","",IF('Loan Inputs'!$B$14=12,DATE(YEAR('Loan Inputs'!$B$8),MONTH('Loan Inputs'!$B$8)+A330,DAY('Loan Inputs'!$B$8)),'Loan Inputs'!$B$8+A330*IF('Loan Inputs'!$B$14=26,14,7)))</f>
        <v/>
      </c>
      <c r="C330" s="2" t="str">
        <f t="shared" si="17"/>
        <v/>
      </c>
      <c r="D330" s="2" t="str">
        <f>IF(A330="","",MIN('Loan Inputs'!$B$17,C330+E330)+H330)</f>
        <v/>
      </c>
      <c r="E330" s="2" t="str">
        <f>IF(A330="","",C330*'Loan Inputs'!$B$15)</f>
        <v/>
      </c>
      <c r="F330" s="2" t="str">
        <f t="shared" si="15"/>
        <v/>
      </c>
      <c r="G330" s="2" t="str">
        <f t="shared" si="16"/>
        <v/>
      </c>
      <c r="H330" s="2" t="str">
        <f>IF(A330="","",MIN('Loan Inputs'!$B$18,MAX(0,C330+E330-'Loan Inputs'!$B$17)))</f>
        <v/>
      </c>
    </row>
    <row r="331" spans="1:8" ht="22" customHeight="1">
      <c r="A331" s="1" t="str">
        <f>IF(AND('Loan Inputs'!$B$12,325&lt;=IF('Loan Inputs'!$B$12,'Loan Inputs'!$B$7,0)*'Loan Inputs'!$B$14+5*'Loan Inputs'!$B$14,ISNUMBER(G330),G330&gt;0),325,"")</f>
        <v/>
      </c>
      <c r="B331" s="4" t="str">
        <f>IF(A331="","",IF('Loan Inputs'!$B$14=12,DATE(YEAR('Loan Inputs'!$B$8),MONTH('Loan Inputs'!$B$8)+A331,DAY('Loan Inputs'!$B$8)),'Loan Inputs'!$B$8+A331*IF('Loan Inputs'!$B$14=26,14,7)))</f>
        <v/>
      </c>
      <c r="C331" s="2" t="str">
        <f t="shared" si="17"/>
        <v/>
      </c>
      <c r="D331" s="2" t="str">
        <f>IF(A331="","",MIN('Loan Inputs'!$B$17,C331+E331)+H331)</f>
        <v/>
      </c>
      <c r="E331" s="2" t="str">
        <f>IF(A331="","",C331*'Loan Inputs'!$B$15)</f>
        <v/>
      </c>
      <c r="F331" s="2" t="str">
        <f t="shared" si="15"/>
        <v/>
      </c>
      <c r="G331" s="2" t="str">
        <f t="shared" si="16"/>
        <v/>
      </c>
      <c r="H331" s="2" t="str">
        <f>IF(A331="","",MIN('Loan Inputs'!$B$18,MAX(0,C331+E331-'Loan Inputs'!$B$17)))</f>
        <v/>
      </c>
    </row>
    <row r="332" spans="1:8" ht="22" customHeight="1">
      <c r="A332" s="1" t="str">
        <f>IF(AND('Loan Inputs'!$B$12,326&lt;=IF('Loan Inputs'!$B$12,'Loan Inputs'!$B$7,0)*'Loan Inputs'!$B$14+5*'Loan Inputs'!$B$14,ISNUMBER(G331),G331&gt;0),326,"")</f>
        <v/>
      </c>
      <c r="B332" s="4" t="str">
        <f>IF(A332="","",IF('Loan Inputs'!$B$14=12,DATE(YEAR('Loan Inputs'!$B$8),MONTH('Loan Inputs'!$B$8)+A332,DAY('Loan Inputs'!$B$8)),'Loan Inputs'!$B$8+A332*IF('Loan Inputs'!$B$14=26,14,7)))</f>
        <v/>
      </c>
      <c r="C332" s="2" t="str">
        <f t="shared" si="17"/>
        <v/>
      </c>
      <c r="D332" s="2" t="str">
        <f>IF(A332="","",MIN('Loan Inputs'!$B$17,C332+E332)+H332)</f>
        <v/>
      </c>
      <c r="E332" s="2" t="str">
        <f>IF(A332="","",C332*'Loan Inputs'!$B$15)</f>
        <v/>
      </c>
      <c r="F332" s="2" t="str">
        <f t="shared" si="15"/>
        <v/>
      </c>
      <c r="G332" s="2" t="str">
        <f t="shared" si="16"/>
        <v/>
      </c>
      <c r="H332" s="2" t="str">
        <f>IF(A332="","",MIN('Loan Inputs'!$B$18,MAX(0,C332+E332-'Loan Inputs'!$B$17)))</f>
        <v/>
      </c>
    </row>
    <row r="333" spans="1:8" ht="22" customHeight="1">
      <c r="A333" s="1" t="str">
        <f>IF(AND('Loan Inputs'!$B$12,327&lt;=IF('Loan Inputs'!$B$12,'Loan Inputs'!$B$7,0)*'Loan Inputs'!$B$14+5*'Loan Inputs'!$B$14,ISNUMBER(G332),G332&gt;0),327,"")</f>
        <v/>
      </c>
      <c r="B333" s="4" t="str">
        <f>IF(A333="","",IF('Loan Inputs'!$B$14=12,DATE(YEAR('Loan Inputs'!$B$8),MONTH('Loan Inputs'!$B$8)+A333,DAY('Loan Inputs'!$B$8)),'Loan Inputs'!$B$8+A333*IF('Loan Inputs'!$B$14=26,14,7)))</f>
        <v/>
      </c>
      <c r="C333" s="2" t="str">
        <f t="shared" si="17"/>
        <v/>
      </c>
      <c r="D333" s="2" t="str">
        <f>IF(A333="","",MIN('Loan Inputs'!$B$17,C333+E333)+H333)</f>
        <v/>
      </c>
      <c r="E333" s="2" t="str">
        <f>IF(A333="","",C333*'Loan Inputs'!$B$15)</f>
        <v/>
      </c>
      <c r="F333" s="2" t="str">
        <f t="shared" si="15"/>
        <v/>
      </c>
      <c r="G333" s="2" t="str">
        <f t="shared" si="16"/>
        <v/>
      </c>
      <c r="H333" s="2" t="str">
        <f>IF(A333="","",MIN('Loan Inputs'!$B$18,MAX(0,C333+E333-'Loan Inputs'!$B$17)))</f>
        <v/>
      </c>
    </row>
    <row r="334" spans="1:8" ht="22" customHeight="1">
      <c r="A334" s="1" t="str">
        <f>IF(AND('Loan Inputs'!$B$12,328&lt;=IF('Loan Inputs'!$B$12,'Loan Inputs'!$B$7,0)*'Loan Inputs'!$B$14+5*'Loan Inputs'!$B$14,ISNUMBER(G333),G333&gt;0),328,"")</f>
        <v/>
      </c>
      <c r="B334" s="4" t="str">
        <f>IF(A334="","",IF('Loan Inputs'!$B$14=12,DATE(YEAR('Loan Inputs'!$B$8),MONTH('Loan Inputs'!$B$8)+A334,DAY('Loan Inputs'!$B$8)),'Loan Inputs'!$B$8+A334*IF('Loan Inputs'!$B$14=26,14,7)))</f>
        <v/>
      </c>
      <c r="C334" s="2" t="str">
        <f t="shared" si="17"/>
        <v/>
      </c>
      <c r="D334" s="2" t="str">
        <f>IF(A334="","",MIN('Loan Inputs'!$B$17,C334+E334)+H334)</f>
        <v/>
      </c>
      <c r="E334" s="2" t="str">
        <f>IF(A334="","",C334*'Loan Inputs'!$B$15)</f>
        <v/>
      </c>
      <c r="F334" s="2" t="str">
        <f t="shared" si="15"/>
        <v/>
      </c>
      <c r="G334" s="2" t="str">
        <f t="shared" si="16"/>
        <v/>
      </c>
      <c r="H334" s="2" t="str">
        <f>IF(A334="","",MIN('Loan Inputs'!$B$18,MAX(0,C334+E334-'Loan Inputs'!$B$17)))</f>
        <v/>
      </c>
    </row>
    <row r="335" spans="1:8" ht="22" customHeight="1">
      <c r="A335" s="1" t="str">
        <f>IF(AND('Loan Inputs'!$B$12,329&lt;=IF('Loan Inputs'!$B$12,'Loan Inputs'!$B$7,0)*'Loan Inputs'!$B$14+5*'Loan Inputs'!$B$14,ISNUMBER(G334),G334&gt;0),329,"")</f>
        <v/>
      </c>
      <c r="B335" s="4" t="str">
        <f>IF(A335="","",IF('Loan Inputs'!$B$14=12,DATE(YEAR('Loan Inputs'!$B$8),MONTH('Loan Inputs'!$B$8)+A335,DAY('Loan Inputs'!$B$8)),'Loan Inputs'!$B$8+A335*IF('Loan Inputs'!$B$14=26,14,7)))</f>
        <v/>
      </c>
      <c r="C335" s="2" t="str">
        <f t="shared" si="17"/>
        <v/>
      </c>
      <c r="D335" s="2" t="str">
        <f>IF(A335="","",MIN('Loan Inputs'!$B$17,C335+E335)+H335)</f>
        <v/>
      </c>
      <c r="E335" s="2" t="str">
        <f>IF(A335="","",C335*'Loan Inputs'!$B$15)</f>
        <v/>
      </c>
      <c r="F335" s="2" t="str">
        <f t="shared" si="15"/>
        <v/>
      </c>
      <c r="G335" s="2" t="str">
        <f t="shared" si="16"/>
        <v/>
      </c>
      <c r="H335" s="2" t="str">
        <f>IF(A335="","",MIN('Loan Inputs'!$B$18,MAX(0,C335+E335-'Loan Inputs'!$B$17)))</f>
        <v/>
      </c>
    </row>
    <row r="336" spans="1:8" ht="22" customHeight="1">
      <c r="A336" s="1" t="str">
        <f>IF(AND('Loan Inputs'!$B$12,330&lt;=IF('Loan Inputs'!$B$12,'Loan Inputs'!$B$7,0)*'Loan Inputs'!$B$14+5*'Loan Inputs'!$B$14,ISNUMBER(G335),G335&gt;0),330,"")</f>
        <v/>
      </c>
      <c r="B336" s="4" t="str">
        <f>IF(A336="","",IF('Loan Inputs'!$B$14=12,DATE(YEAR('Loan Inputs'!$B$8),MONTH('Loan Inputs'!$B$8)+A336,DAY('Loan Inputs'!$B$8)),'Loan Inputs'!$B$8+A336*IF('Loan Inputs'!$B$14=26,14,7)))</f>
        <v/>
      </c>
      <c r="C336" s="2" t="str">
        <f t="shared" si="17"/>
        <v/>
      </c>
      <c r="D336" s="2" t="str">
        <f>IF(A336="","",MIN('Loan Inputs'!$B$17,C336+E336)+H336)</f>
        <v/>
      </c>
      <c r="E336" s="2" t="str">
        <f>IF(A336="","",C336*'Loan Inputs'!$B$15)</f>
        <v/>
      </c>
      <c r="F336" s="2" t="str">
        <f t="shared" si="15"/>
        <v/>
      </c>
      <c r="G336" s="2" t="str">
        <f t="shared" si="16"/>
        <v/>
      </c>
      <c r="H336" s="2" t="str">
        <f>IF(A336="","",MIN('Loan Inputs'!$B$18,MAX(0,C336+E336-'Loan Inputs'!$B$17)))</f>
        <v/>
      </c>
    </row>
    <row r="337" spans="1:8" ht="22" customHeight="1">
      <c r="A337" s="1" t="str">
        <f>IF(AND('Loan Inputs'!$B$12,331&lt;=IF('Loan Inputs'!$B$12,'Loan Inputs'!$B$7,0)*'Loan Inputs'!$B$14+5*'Loan Inputs'!$B$14,ISNUMBER(G336),G336&gt;0),331,"")</f>
        <v/>
      </c>
      <c r="B337" s="4" t="str">
        <f>IF(A337="","",IF('Loan Inputs'!$B$14=12,DATE(YEAR('Loan Inputs'!$B$8),MONTH('Loan Inputs'!$B$8)+A337,DAY('Loan Inputs'!$B$8)),'Loan Inputs'!$B$8+A337*IF('Loan Inputs'!$B$14=26,14,7)))</f>
        <v/>
      </c>
      <c r="C337" s="2" t="str">
        <f t="shared" si="17"/>
        <v/>
      </c>
      <c r="D337" s="2" t="str">
        <f>IF(A337="","",MIN('Loan Inputs'!$B$17,C337+E337)+H337)</f>
        <v/>
      </c>
      <c r="E337" s="2" t="str">
        <f>IF(A337="","",C337*'Loan Inputs'!$B$15)</f>
        <v/>
      </c>
      <c r="F337" s="2" t="str">
        <f t="shared" si="15"/>
        <v/>
      </c>
      <c r="G337" s="2" t="str">
        <f t="shared" si="16"/>
        <v/>
      </c>
      <c r="H337" s="2" t="str">
        <f>IF(A337="","",MIN('Loan Inputs'!$B$18,MAX(0,C337+E337-'Loan Inputs'!$B$17)))</f>
        <v/>
      </c>
    </row>
    <row r="338" spans="1:8" ht="22" customHeight="1">
      <c r="A338" s="1" t="str">
        <f>IF(AND('Loan Inputs'!$B$12,332&lt;=IF('Loan Inputs'!$B$12,'Loan Inputs'!$B$7,0)*'Loan Inputs'!$B$14+5*'Loan Inputs'!$B$14,ISNUMBER(G337),G337&gt;0),332,"")</f>
        <v/>
      </c>
      <c r="B338" s="4" t="str">
        <f>IF(A338="","",IF('Loan Inputs'!$B$14=12,DATE(YEAR('Loan Inputs'!$B$8),MONTH('Loan Inputs'!$B$8)+A338,DAY('Loan Inputs'!$B$8)),'Loan Inputs'!$B$8+A338*IF('Loan Inputs'!$B$14=26,14,7)))</f>
        <v/>
      </c>
      <c r="C338" s="2" t="str">
        <f t="shared" si="17"/>
        <v/>
      </c>
      <c r="D338" s="2" t="str">
        <f>IF(A338="","",MIN('Loan Inputs'!$B$17,C338+E338)+H338)</f>
        <v/>
      </c>
      <c r="E338" s="2" t="str">
        <f>IF(A338="","",C338*'Loan Inputs'!$B$15)</f>
        <v/>
      </c>
      <c r="F338" s="2" t="str">
        <f t="shared" si="15"/>
        <v/>
      </c>
      <c r="G338" s="2" t="str">
        <f t="shared" si="16"/>
        <v/>
      </c>
      <c r="H338" s="2" t="str">
        <f>IF(A338="","",MIN('Loan Inputs'!$B$18,MAX(0,C338+E338-'Loan Inputs'!$B$17)))</f>
        <v/>
      </c>
    </row>
    <row r="339" spans="1:8" ht="22" customHeight="1">
      <c r="A339" s="1" t="str">
        <f>IF(AND('Loan Inputs'!$B$12,333&lt;=IF('Loan Inputs'!$B$12,'Loan Inputs'!$B$7,0)*'Loan Inputs'!$B$14+5*'Loan Inputs'!$B$14,ISNUMBER(G338),G338&gt;0),333,"")</f>
        <v/>
      </c>
      <c r="B339" s="4" t="str">
        <f>IF(A339="","",IF('Loan Inputs'!$B$14=12,DATE(YEAR('Loan Inputs'!$B$8),MONTH('Loan Inputs'!$B$8)+A339,DAY('Loan Inputs'!$B$8)),'Loan Inputs'!$B$8+A339*IF('Loan Inputs'!$B$14=26,14,7)))</f>
        <v/>
      </c>
      <c r="C339" s="2" t="str">
        <f t="shared" si="17"/>
        <v/>
      </c>
      <c r="D339" s="2" t="str">
        <f>IF(A339="","",MIN('Loan Inputs'!$B$17,C339+E339)+H339)</f>
        <v/>
      </c>
      <c r="E339" s="2" t="str">
        <f>IF(A339="","",C339*'Loan Inputs'!$B$15)</f>
        <v/>
      </c>
      <c r="F339" s="2" t="str">
        <f t="shared" si="15"/>
        <v/>
      </c>
      <c r="G339" s="2" t="str">
        <f t="shared" si="16"/>
        <v/>
      </c>
      <c r="H339" s="2" t="str">
        <f>IF(A339="","",MIN('Loan Inputs'!$B$18,MAX(0,C339+E339-'Loan Inputs'!$B$17)))</f>
        <v/>
      </c>
    </row>
    <row r="340" spans="1:8" ht="22" customHeight="1">
      <c r="A340" s="1" t="str">
        <f>IF(AND('Loan Inputs'!$B$12,334&lt;=IF('Loan Inputs'!$B$12,'Loan Inputs'!$B$7,0)*'Loan Inputs'!$B$14+5*'Loan Inputs'!$B$14,ISNUMBER(G339),G339&gt;0),334,"")</f>
        <v/>
      </c>
      <c r="B340" s="4" t="str">
        <f>IF(A340="","",IF('Loan Inputs'!$B$14=12,DATE(YEAR('Loan Inputs'!$B$8),MONTH('Loan Inputs'!$B$8)+A340,DAY('Loan Inputs'!$B$8)),'Loan Inputs'!$B$8+A340*IF('Loan Inputs'!$B$14=26,14,7)))</f>
        <v/>
      </c>
      <c r="C340" s="2" t="str">
        <f t="shared" si="17"/>
        <v/>
      </c>
      <c r="D340" s="2" t="str">
        <f>IF(A340="","",MIN('Loan Inputs'!$B$17,C340+E340)+H340)</f>
        <v/>
      </c>
      <c r="E340" s="2" t="str">
        <f>IF(A340="","",C340*'Loan Inputs'!$B$15)</f>
        <v/>
      </c>
      <c r="F340" s="2" t="str">
        <f t="shared" si="15"/>
        <v/>
      </c>
      <c r="G340" s="2" t="str">
        <f t="shared" si="16"/>
        <v/>
      </c>
      <c r="H340" s="2" t="str">
        <f>IF(A340="","",MIN('Loan Inputs'!$B$18,MAX(0,C340+E340-'Loan Inputs'!$B$17)))</f>
        <v/>
      </c>
    </row>
    <row r="341" spans="1:8" ht="22" customHeight="1">
      <c r="A341" s="1" t="str">
        <f>IF(AND('Loan Inputs'!$B$12,335&lt;=IF('Loan Inputs'!$B$12,'Loan Inputs'!$B$7,0)*'Loan Inputs'!$B$14+5*'Loan Inputs'!$B$14,ISNUMBER(G340),G340&gt;0),335,"")</f>
        <v/>
      </c>
      <c r="B341" s="4" t="str">
        <f>IF(A341="","",IF('Loan Inputs'!$B$14=12,DATE(YEAR('Loan Inputs'!$B$8),MONTH('Loan Inputs'!$B$8)+A341,DAY('Loan Inputs'!$B$8)),'Loan Inputs'!$B$8+A341*IF('Loan Inputs'!$B$14=26,14,7)))</f>
        <v/>
      </c>
      <c r="C341" s="2" t="str">
        <f t="shared" si="17"/>
        <v/>
      </c>
      <c r="D341" s="2" t="str">
        <f>IF(A341="","",MIN('Loan Inputs'!$B$17,C341+E341)+H341)</f>
        <v/>
      </c>
      <c r="E341" s="2" t="str">
        <f>IF(A341="","",C341*'Loan Inputs'!$B$15)</f>
        <v/>
      </c>
      <c r="F341" s="2" t="str">
        <f t="shared" si="15"/>
        <v/>
      </c>
      <c r="G341" s="2" t="str">
        <f t="shared" si="16"/>
        <v/>
      </c>
      <c r="H341" s="2" t="str">
        <f>IF(A341="","",MIN('Loan Inputs'!$B$18,MAX(0,C341+E341-'Loan Inputs'!$B$17)))</f>
        <v/>
      </c>
    </row>
    <row r="342" spans="1:8" ht="22" customHeight="1">
      <c r="A342" s="1" t="str">
        <f>IF(AND('Loan Inputs'!$B$12,336&lt;=IF('Loan Inputs'!$B$12,'Loan Inputs'!$B$7,0)*'Loan Inputs'!$B$14+5*'Loan Inputs'!$B$14,ISNUMBER(G341),G341&gt;0),336,"")</f>
        <v/>
      </c>
      <c r="B342" s="4" t="str">
        <f>IF(A342="","",IF('Loan Inputs'!$B$14=12,DATE(YEAR('Loan Inputs'!$B$8),MONTH('Loan Inputs'!$B$8)+A342,DAY('Loan Inputs'!$B$8)),'Loan Inputs'!$B$8+A342*IF('Loan Inputs'!$B$14=26,14,7)))</f>
        <v/>
      </c>
      <c r="C342" s="2" t="str">
        <f t="shared" si="17"/>
        <v/>
      </c>
      <c r="D342" s="2" t="str">
        <f>IF(A342="","",MIN('Loan Inputs'!$B$17,C342+E342)+H342)</f>
        <v/>
      </c>
      <c r="E342" s="2" t="str">
        <f>IF(A342="","",C342*'Loan Inputs'!$B$15)</f>
        <v/>
      </c>
      <c r="F342" s="2" t="str">
        <f t="shared" si="15"/>
        <v/>
      </c>
      <c r="G342" s="2" t="str">
        <f t="shared" si="16"/>
        <v/>
      </c>
      <c r="H342" s="2" t="str">
        <f>IF(A342="","",MIN('Loan Inputs'!$B$18,MAX(0,C342+E342-'Loan Inputs'!$B$17)))</f>
        <v/>
      </c>
    </row>
    <row r="343" spans="1:8" ht="22" customHeight="1">
      <c r="A343" s="1" t="str">
        <f>IF(AND('Loan Inputs'!$B$12,337&lt;=IF('Loan Inputs'!$B$12,'Loan Inputs'!$B$7,0)*'Loan Inputs'!$B$14+5*'Loan Inputs'!$B$14,ISNUMBER(G342),G342&gt;0),337,"")</f>
        <v/>
      </c>
      <c r="B343" s="4" t="str">
        <f>IF(A343="","",IF('Loan Inputs'!$B$14=12,DATE(YEAR('Loan Inputs'!$B$8),MONTH('Loan Inputs'!$B$8)+A343,DAY('Loan Inputs'!$B$8)),'Loan Inputs'!$B$8+A343*IF('Loan Inputs'!$B$14=26,14,7)))</f>
        <v/>
      </c>
      <c r="C343" s="2" t="str">
        <f t="shared" si="17"/>
        <v/>
      </c>
      <c r="D343" s="2" t="str">
        <f>IF(A343="","",MIN('Loan Inputs'!$B$17,C343+E343)+H343)</f>
        <v/>
      </c>
      <c r="E343" s="2" t="str">
        <f>IF(A343="","",C343*'Loan Inputs'!$B$15)</f>
        <v/>
      </c>
      <c r="F343" s="2" t="str">
        <f t="shared" si="15"/>
        <v/>
      </c>
      <c r="G343" s="2" t="str">
        <f t="shared" si="16"/>
        <v/>
      </c>
      <c r="H343" s="2" t="str">
        <f>IF(A343="","",MIN('Loan Inputs'!$B$18,MAX(0,C343+E343-'Loan Inputs'!$B$17)))</f>
        <v/>
      </c>
    </row>
    <row r="344" spans="1:8" ht="22" customHeight="1">
      <c r="A344" s="1" t="str">
        <f>IF(AND('Loan Inputs'!$B$12,338&lt;=IF('Loan Inputs'!$B$12,'Loan Inputs'!$B$7,0)*'Loan Inputs'!$B$14+5*'Loan Inputs'!$B$14,ISNUMBER(G343),G343&gt;0),338,"")</f>
        <v/>
      </c>
      <c r="B344" s="4" t="str">
        <f>IF(A344="","",IF('Loan Inputs'!$B$14=12,DATE(YEAR('Loan Inputs'!$B$8),MONTH('Loan Inputs'!$B$8)+A344,DAY('Loan Inputs'!$B$8)),'Loan Inputs'!$B$8+A344*IF('Loan Inputs'!$B$14=26,14,7)))</f>
        <v/>
      </c>
      <c r="C344" s="2" t="str">
        <f t="shared" si="17"/>
        <v/>
      </c>
      <c r="D344" s="2" t="str">
        <f>IF(A344="","",MIN('Loan Inputs'!$B$17,C344+E344)+H344)</f>
        <v/>
      </c>
      <c r="E344" s="2" t="str">
        <f>IF(A344="","",C344*'Loan Inputs'!$B$15)</f>
        <v/>
      </c>
      <c r="F344" s="2" t="str">
        <f t="shared" si="15"/>
        <v/>
      </c>
      <c r="G344" s="2" t="str">
        <f t="shared" si="16"/>
        <v/>
      </c>
      <c r="H344" s="2" t="str">
        <f>IF(A344="","",MIN('Loan Inputs'!$B$18,MAX(0,C344+E344-'Loan Inputs'!$B$17)))</f>
        <v/>
      </c>
    </row>
    <row r="345" spans="1:8" ht="22" customHeight="1">
      <c r="A345" s="1" t="str">
        <f>IF(AND('Loan Inputs'!$B$12,339&lt;=IF('Loan Inputs'!$B$12,'Loan Inputs'!$B$7,0)*'Loan Inputs'!$B$14+5*'Loan Inputs'!$B$14,ISNUMBER(G344),G344&gt;0),339,"")</f>
        <v/>
      </c>
      <c r="B345" s="4" t="str">
        <f>IF(A345="","",IF('Loan Inputs'!$B$14=12,DATE(YEAR('Loan Inputs'!$B$8),MONTH('Loan Inputs'!$B$8)+A345,DAY('Loan Inputs'!$B$8)),'Loan Inputs'!$B$8+A345*IF('Loan Inputs'!$B$14=26,14,7)))</f>
        <v/>
      </c>
      <c r="C345" s="2" t="str">
        <f t="shared" si="17"/>
        <v/>
      </c>
      <c r="D345" s="2" t="str">
        <f>IF(A345="","",MIN('Loan Inputs'!$B$17,C345+E345)+H345)</f>
        <v/>
      </c>
      <c r="E345" s="2" t="str">
        <f>IF(A345="","",C345*'Loan Inputs'!$B$15)</f>
        <v/>
      </c>
      <c r="F345" s="2" t="str">
        <f t="shared" si="15"/>
        <v/>
      </c>
      <c r="G345" s="2" t="str">
        <f t="shared" si="16"/>
        <v/>
      </c>
      <c r="H345" s="2" t="str">
        <f>IF(A345="","",MIN('Loan Inputs'!$B$18,MAX(0,C345+E345-'Loan Inputs'!$B$17)))</f>
        <v/>
      </c>
    </row>
    <row r="346" spans="1:8" ht="22" customHeight="1">
      <c r="A346" s="1" t="str">
        <f>IF(AND('Loan Inputs'!$B$12,340&lt;=IF('Loan Inputs'!$B$12,'Loan Inputs'!$B$7,0)*'Loan Inputs'!$B$14+5*'Loan Inputs'!$B$14,ISNUMBER(G345),G345&gt;0),340,"")</f>
        <v/>
      </c>
      <c r="B346" s="4" t="str">
        <f>IF(A346="","",IF('Loan Inputs'!$B$14=12,DATE(YEAR('Loan Inputs'!$B$8),MONTH('Loan Inputs'!$B$8)+A346,DAY('Loan Inputs'!$B$8)),'Loan Inputs'!$B$8+A346*IF('Loan Inputs'!$B$14=26,14,7)))</f>
        <v/>
      </c>
      <c r="C346" s="2" t="str">
        <f t="shared" si="17"/>
        <v/>
      </c>
      <c r="D346" s="2" t="str">
        <f>IF(A346="","",MIN('Loan Inputs'!$B$17,C346+E346)+H346)</f>
        <v/>
      </c>
      <c r="E346" s="2" t="str">
        <f>IF(A346="","",C346*'Loan Inputs'!$B$15)</f>
        <v/>
      </c>
      <c r="F346" s="2" t="str">
        <f t="shared" si="15"/>
        <v/>
      </c>
      <c r="G346" s="2" t="str">
        <f t="shared" si="16"/>
        <v/>
      </c>
      <c r="H346" s="2" t="str">
        <f>IF(A346="","",MIN('Loan Inputs'!$B$18,MAX(0,C346+E346-'Loan Inputs'!$B$17)))</f>
        <v/>
      </c>
    </row>
    <row r="347" spans="1:8" ht="22" customHeight="1">
      <c r="A347" s="1" t="str">
        <f>IF(AND('Loan Inputs'!$B$12,341&lt;=IF('Loan Inputs'!$B$12,'Loan Inputs'!$B$7,0)*'Loan Inputs'!$B$14+5*'Loan Inputs'!$B$14,ISNUMBER(G346),G346&gt;0),341,"")</f>
        <v/>
      </c>
      <c r="B347" s="4" t="str">
        <f>IF(A347="","",IF('Loan Inputs'!$B$14=12,DATE(YEAR('Loan Inputs'!$B$8),MONTH('Loan Inputs'!$B$8)+A347,DAY('Loan Inputs'!$B$8)),'Loan Inputs'!$B$8+A347*IF('Loan Inputs'!$B$14=26,14,7)))</f>
        <v/>
      </c>
      <c r="C347" s="2" t="str">
        <f t="shared" si="17"/>
        <v/>
      </c>
      <c r="D347" s="2" t="str">
        <f>IF(A347="","",MIN('Loan Inputs'!$B$17,C347+E347)+H347)</f>
        <v/>
      </c>
      <c r="E347" s="2" t="str">
        <f>IF(A347="","",C347*'Loan Inputs'!$B$15)</f>
        <v/>
      </c>
      <c r="F347" s="2" t="str">
        <f t="shared" si="15"/>
        <v/>
      </c>
      <c r="G347" s="2" t="str">
        <f t="shared" si="16"/>
        <v/>
      </c>
      <c r="H347" s="2" t="str">
        <f>IF(A347="","",MIN('Loan Inputs'!$B$18,MAX(0,C347+E347-'Loan Inputs'!$B$17)))</f>
        <v/>
      </c>
    </row>
    <row r="348" spans="1:8" ht="22" customHeight="1">
      <c r="A348" s="1" t="str">
        <f>IF(AND('Loan Inputs'!$B$12,342&lt;=IF('Loan Inputs'!$B$12,'Loan Inputs'!$B$7,0)*'Loan Inputs'!$B$14+5*'Loan Inputs'!$B$14,ISNUMBER(G347),G347&gt;0),342,"")</f>
        <v/>
      </c>
      <c r="B348" s="4" t="str">
        <f>IF(A348="","",IF('Loan Inputs'!$B$14=12,DATE(YEAR('Loan Inputs'!$B$8),MONTH('Loan Inputs'!$B$8)+A348,DAY('Loan Inputs'!$B$8)),'Loan Inputs'!$B$8+A348*IF('Loan Inputs'!$B$14=26,14,7)))</f>
        <v/>
      </c>
      <c r="C348" s="2" t="str">
        <f t="shared" si="17"/>
        <v/>
      </c>
      <c r="D348" s="2" t="str">
        <f>IF(A348="","",MIN('Loan Inputs'!$B$17,C348+E348)+H348)</f>
        <v/>
      </c>
      <c r="E348" s="2" t="str">
        <f>IF(A348="","",C348*'Loan Inputs'!$B$15)</f>
        <v/>
      </c>
      <c r="F348" s="2" t="str">
        <f t="shared" si="15"/>
        <v/>
      </c>
      <c r="G348" s="2" t="str">
        <f t="shared" si="16"/>
        <v/>
      </c>
      <c r="H348" s="2" t="str">
        <f>IF(A348="","",MIN('Loan Inputs'!$B$18,MAX(0,C348+E348-'Loan Inputs'!$B$17)))</f>
        <v/>
      </c>
    </row>
    <row r="349" spans="1:8" ht="22" customHeight="1">
      <c r="A349" s="1" t="str">
        <f>IF(AND('Loan Inputs'!$B$12,343&lt;=IF('Loan Inputs'!$B$12,'Loan Inputs'!$B$7,0)*'Loan Inputs'!$B$14+5*'Loan Inputs'!$B$14,ISNUMBER(G348),G348&gt;0),343,"")</f>
        <v/>
      </c>
      <c r="B349" s="4" t="str">
        <f>IF(A349="","",IF('Loan Inputs'!$B$14=12,DATE(YEAR('Loan Inputs'!$B$8),MONTH('Loan Inputs'!$B$8)+A349,DAY('Loan Inputs'!$B$8)),'Loan Inputs'!$B$8+A349*IF('Loan Inputs'!$B$14=26,14,7)))</f>
        <v/>
      </c>
      <c r="C349" s="2" t="str">
        <f t="shared" si="17"/>
        <v/>
      </c>
      <c r="D349" s="2" t="str">
        <f>IF(A349="","",MIN('Loan Inputs'!$B$17,C349+E349)+H349)</f>
        <v/>
      </c>
      <c r="E349" s="2" t="str">
        <f>IF(A349="","",C349*'Loan Inputs'!$B$15)</f>
        <v/>
      </c>
      <c r="F349" s="2" t="str">
        <f t="shared" si="15"/>
        <v/>
      </c>
      <c r="G349" s="2" t="str">
        <f t="shared" si="16"/>
        <v/>
      </c>
      <c r="H349" s="2" t="str">
        <f>IF(A349="","",MIN('Loan Inputs'!$B$18,MAX(0,C349+E349-'Loan Inputs'!$B$17)))</f>
        <v/>
      </c>
    </row>
    <row r="350" spans="1:8" ht="22" customHeight="1">
      <c r="A350" s="1" t="str">
        <f>IF(AND('Loan Inputs'!$B$12,344&lt;=IF('Loan Inputs'!$B$12,'Loan Inputs'!$B$7,0)*'Loan Inputs'!$B$14+5*'Loan Inputs'!$B$14,ISNUMBER(G349),G349&gt;0),344,"")</f>
        <v/>
      </c>
      <c r="B350" s="4" t="str">
        <f>IF(A350="","",IF('Loan Inputs'!$B$14=12,DATE(YEAR('Loan Inputs'!$B$8),MONTH('Loan Inputs'!$B$8)+A350,DAY('Loan Inputs'!$B$8)),'Loan Inputs'!$B$8+A350*IF('Loan Inputs'!$B$14=26,14,7)))</f>
        <v/>
      </c>
      <c r="C350" s="2" t="str">
        <f t="shared" si="17"/>
        <v/>
      </c>
      <c r="D350" s="2" t="str">
        <f>IF(A350="","",MIN('Loan Inputs'!$B$17,C350+E350)+H350)</f>
        <v/>
      </c>
      <c r="E350" s="2" t="str">
        <f>IF(A350="","",C350*'Loan Inputs'!$B$15)</f>
        <v/>
      </c>
      <c r="F350" s="2" t="str">
        <f t="shared" si="15"/>
        <v/>
      </c>
      <c r="G350" s="2" t="str">
        <f t="shared" si="16"/>
        <v/>
      </c>
      <c r="H350" s="2" t="str">
        <f>IF(A350="","",MIN('Loan Inputs'!$B$18,MAX(0,C350+E350-'Loan Inputs'!$B$17)))</f>
        <v/>
      </c>
    </row>
    <row r="351" spans="1:8" ht="22" customHeight="1">
      <c r="A351" s="1" t="str">
        <f>IF(AND('Loan Inputs'!$B$12,345&lt;=IF('Loan Inputs'!$B$12,'Loan Inputs'!$B$7,0)*'Loan Inputs'!$B$14+5*'Loan Inputs'!$B$14,ISNUMBER(G350),G350&gt;0),345,"")</f>
        <v/>
      </c>
      <c r="B351" s="4" t="str">
        <f>IF(A351="","",IF('Loan Inputs'!$B$14=12,DATE(YEAR('Loan Inputs'!$B$8),MONTH('Loan Inputs'!$B$8)+A351,DAY('Loan Inputs'!$B$8)),'Loan Inputs'!$B$8+A351*IF('Loan Inputs'!$B$14=26,14,7)))</f>
        <v/>
      </c>
      <c r="C351" s="2" t="str">
        <f t="shared" si="17"/>
        <v/>
      </c>
      <c r="D351" s="2" t="str">
        <f>IF(A351="","",MIN('Loan Inputs'!$B$17,C351+E351)+H351)</f>
        <v/>
      </c>
      <c r="E351" s="2" t="str">
        <f>IF(A351="","",C351*'Loan Inputs'!$B$15)</f>
        <v/>
      </c>
      <c r="F351" s="2" t="str">
        <f t="shared" si="15"/>
        <v/>
      </c>
      <c r="G351" s="2" t="str">
        <f t="shared" si="16"/>
        <v/>
      </c>
      <c r="H351" s="2" t="str">
        <f>IF(A351="","",MIN('Loan Inputs'!$B$18,MAX(0,C351+E351-'Loan Inputs'!$B$17)))</f>
        <v/>
      </c>
    </row>
    <row r="352" spans="1:8" ht="22" customHeight="1">
      <c r="A352" s="1" t="str">
        <f>IF(AND('Loan Inputs'!$B$12,346&lt;=IF('Loan Inputs'!$B$12,'Loan Inputs'!$B$7,0)*'Loan Inputs'!$B$14+5*'Loan Inputs'!$B$14,ISNUMBER(G351),G351&gt;0),346,"")</f>
        <v/>
      </c>
      <c r="B352" s="4" t="str">
        <f>IF(A352="","",IF('Loan Inputs'!$B$14=12,DATE(YEAR('Loan Inputs'!$B$8),MONTH('Loan Inputs'!$B$8)+A352,DAY('Loan Inputs'!$B$8)),'Loan Inputs'!$B$8+A352*IF('Loan Inputs'!$B$14=26,14,7)))</f>
        <v/>
      </c>
      <c r="C352" s="2" t="str">
        <f t="shared" si="17"/>
        <v/>
      </c>
      <c r="D352" s="2" t="str">
        <f>IF(A352="","",MIN('Loan Inputs'!$B$17,C352+E352)+H352)</f>
        <v/>
      </c>
      <c r="E352" s="2" t="str">
        <f>IF(A352="","",C352*'Loan Inputs'!$B$15)</f>
        <v/>
      </c>
      <c r="F352" s="2" t="str">
        <f t="shared" si="15"/>
        <v/>
      </c>
      <c r="G352" s="2" t="str">
        <f t="shared" si="16"/>
        <v/>
      </c>
      <c r="H352" s="2" t="str">
        <f>IF(A352="","",MIN('Loan Inputs'!$B$18,MAX(0,C352+E352-'Loan Inputs'!$B$17)))</f>
        <v/>
      </c>
    </row>
    <row r="353" spans="1:8" ht="22" customHeight="1">
      <c r="A353" s="1" t="str">
        <f>IF(AND('Loan Inputs'!$B$12,347&lt;=IF('Loan Inputs'!$B$12,'Loan Inputs'!$B$7,0)*'Loan Inputs'!$B$14+5*'Loan Inputs'!$B$14,ISNUMBER(G352),G352&gt;0),347,"")</f>
        <v/>
      </c>
      <c r="B353" s="4" t="str">
        <f>IF(A353="","",IF('Loan Inputs'!$B$14=12,DATE(YEAR('Loan Inputs'!$B$8),MONTH('Loan Inputs'!$B$8)+A353,DAY('Loan Inputs'!$B$8)),'Loan Inputs'!$B$8+A353*IF('Loan Inputs'!$B$14=26,14,7)))</f>
        <v/>
      </c>
      <c r="C353" s="2" t="str">
        <f t="shared" si="17"/>
        <v/>
      </c>
      <c r="D353" s="2" t="str">
        <f>IF(A353="","",MIN('Loan Inputs'!$B$17,C353+E353)+H353)</f>
        <v/>
      </c>
      <c r="E353" s="2" t="str">
        <f>IF(A353="","",C353*'Loan Inputs'!$B$15)</f>
        <v/>
      </c>
      <c r="F353" s="2" t="str">
        <f t="shared" si="15"/>
        <v/>
      </c>
      <c r="G353" s="2" t="str">
        <f t="shared" si="16"/>
        <v/>
      </c>
      <c r="H353" s="2" t="str">
        <f>IF(A353="","",MIN('Loan Inputs'!$B$18,MAX(0,C353+E353-'Loan Inputs'!$B$17)))</f>
        <v/>
      </c>
    </row>
    <row r="354" spans="1:8" ht="22" customHeight="1">
      <c r="A354" s="1" t="str">
        <f>IF(AND('Loan Inputs'!$B$12,348&lt;=IF('Loan Inputs'!$B$12,'Loan Inputs'!$B$7,0)*'Loan Inputs'!$B$14+5*'Loan Inputs'!$B$14,ISNUMBER(G353),G353&gt;0),348,"")</f>
        <v/>
      </c>
      <c r="B354" s="4" t="str">
        <f>IF(A354="","",IF('Loan Inputs'!$B$14=12,DATE(YEAR('Loan Inputs'!$B$8),MONTH('Loan Inputs'!$B$8)+A354,DAY('Loan Inputs'!$B$8)),'Loan Inputs'!$B$8+A354*IF('Loan Inputs'!$B$14=26,14,7)))</f>
        <v/>
      </c>
      <c r="C354" s="2" t="str">
        <f t="shared" si="17"/>
        <v/>
      </c>
      <c r="D354" s="2" t="str">
        <f>IF(A354="","",MIN('Loan Inputs'!$B$17,C354+E354)+H354)</f>
        <v/>
      </c>
      <c r="E354" s="2" t="str">
        <f>IF(A354="","",C354*'Loan Inputs'!$B$15)</f>
        <v/>
      </c>
      <c r="F354" s="2" t="str">
        <f t="shared" si="15"/>
        <v/>
      </c>
      <c r="G354" s="2" t="str">
        <f t="shared" si="16"/>
        <v/>
      </c>
      <c r="H354" s="2" t="str">
        <f>IF(A354="","",MIN('Loan Inputs'!$B$18,MAX(0,C354+E354-'Loan Inputs'!$B$17)))</f>
        <v/>
      </c>
    </row>
    <row r="355" spans="1:8" ht="22" customHeight="1">
      <c r="A355" s="1" t="str">
        <f>IF(AND('Loan Inputs'!$B$12,349&lt;=IF('Loan Inputs'!$B$12,'Loan Inputs'!$B$7,0)*'Loan Inputs'!$B$14+5*'Loan Inputs'!$B$14,ISNUMBER(G354),G354&gt;0),349,"")</f>
        <v/>
      </c>
      <c r="B355" s="4" t="str">
        <f>IF(A355="","",IF('Loan Inputs'!$B$14=12,DATE(YEAR('Loan Inputs'!$B$8),MONTH('Loan Inputs'!$B$8)+A355,DAY('Loan Inputs'!$B$8)),'Loan Inputs'!$B$8+A355*IF('Loan Inputs'!$B$14=26,14,7)))</f>
        <v/>
      </c>
      <c r="C355" s="2" t="str">
        <f t="shared" si="17"/>
        <v/>
      </c>
      <c r="D355" s="2" t="str">
        <f>IF(A355="","",MIN('Loan Inputs'!$B$17,C355+E355)+H355)</f>
        <v/>
      </c>
      <c r="E355" s="2" t="str">
        <f>IF(A355="","",C355*'Loan Inputs'!$B$15)</f>
        <v/>
      </c>
      <c r="F355" s="2" t="str">
        <f t="shared" si="15"/>
        <v/>
      </c>
      <c r="G355" s="2" t="str">
        <f t="shared" si="16"/>
        <v/>
      </c>
      <c r="H355" s="2" t="str">
        <f>IF(A355="","",MIN('Loan Inputs'!$B$18,MAX(0,C355+E355-'Loan Inputs'!$B$17)))</f>
        <v/>
      </c>
    </row>
    <row r="356" spans="1:8" ht="22" customHeight="1">
      <c r="A356" s="1" t="str">
        <f>IF(AND('Loan Inputs'!$B$12,350&lt;=IF('Loan Inputs'!$B$12,'Loan Inputs'!$B$7,0)*'Loan Inputs'!$B$14+5*'Loan Inputs'!$B$14,ISNUMBER(G355),G355&gt;0),350,"")</f>
        <v/>
      </c>
      <c r="B356" s="4" t="str">
        <f>IF(A356="","",IF('Loan Inputs'!$B$14=12,DATE(YEAR('Loan Inputs'!$B$8),MONTH('Loan Inputs'!$B$8)+A356,DAY('Loan Inputs'!$B$8)),'Loan Inputs'!$B$8+A356*IF('Loan Inputs'!$B$14=26,14,7)))</f>
        <v/>
      </c>
      <c r="C356" s="2" t="str">
        <f t="shared" si="17"/>
        <v/>
      </c>
      <c r="D356" s="2" t="str">
        <f>IF(A356="","",MIN('Loan Inputs'!$B$17,C356+E356)+H356)</f>
        <v/>
      </c>
      <c r="E356" s="2" t="str">
        <f>IF(A356="","",C356*'Loan Inputs'!$B$15)</f>
        <v/>
      </c>
      <c r="F356" s="2" t="str">
        <f t="shared" si="15"/>
        <v/>
      </c>
      <c r="G356" s="2" t="str">
        <f t="shared" si="16"/>
        <v/>
      </c>
      <c r="H356" s="2" t="str">
        <f>IF(A356="","",MIN('Loan Inputs'!$B$18,MAX(0,C356+E356-'Loan Inputs'!$B$17)))</f>
        <v/>
      </c>
    </row>
    <row r="357" spans="1:8" ht="22" customHeight="1">
      <c r="A357" s="1" t="str">
        <f>IF(AND('Loan Inputs'!$B$12,351&lt;=IF('Loan Inputs'!$B$12,'Loan Inputs'!$B$7,0)*'Loan Inputs'!$B$14+5*'Loan Inputs'!$B$14,ISNUMBER(G356),G356&gt;0),351,"")</f>
        <v/>
      </c>
      <c r="B357" s="4" t="str">
        <f>IF(A357="","",IF('Loan Inputs'!$B$14=12,DATE(YEAR('Loan Inputs'!$B$8),MONTH('Loan Inputs'!$B$8)+A357,DAY('Loan Inputs'!$B$8)),'Loan Inputs'!$B$8+A357*IF('Loan Inputs'!$B$14=26,14,7)))</f>
        <v/>
      </c>
      <c r="C357" s="2" t="str">
        <f t="shared" si="17"/>
        <v/>
      </c>
      <c r="D357" s="2" t="str">
        <f>IF(A357="","",MIN('Loan Inputs'!$B$17,C357+E357)+H357)</f>
        <v/>
      </c>
      <c r="E357" s="2" t="str">
        <f>IF(A357="","",C357*'Loan Inputs'!$B$15)</f>
        <v/>
      </c>
      <c r="F357" s="2" t="str">
        <f t="shared" si="15"/>
        <v/>
      </c>
      <c r="G357" s="2" t="str">
        <f t="shared" si="16"/>
        <v/>
      </c>
      <c r="H357" s="2" t="str">
        <f>IF(A357="","",MIN('Loan Inputs'!$B$18,MAX(0,C357+E357-'Loan Inputs'!$B$17)))</f>
        <v/>
      </c>
    </row>
    <row r="358" spans="1:8" ht="22" customHeight="1">
      <c r="A358" s="1" t="str">
        <f>IF(AND('Loan Inputs'!$B$12,352&lt;=IF('Loan Inputs'!$B$12,'Loan Inputs'!$B$7,0)*'Loan Inputs'!$B$14+5*'Loan Inputs'!$B$14,ISNUMBER(G357),G357&gt;0),352,"")</f>
        <v/>
      </c>
      <c r="B358" s="4" t="str">
        <f>IF(A358="","",IF('Loan Inputs'!$B$14=12,DATE(YEAR('Loan Inputs'!$B$8),MONTH('Loan Inputs'!$B$8)+A358,DAY('Loan Inputs'!$B$8)),'Loan Inputs'!$B$8+A358*IF('Loan Inputs'!$B$14=26,14,7)))</f>
        <v/>
      </c>
      <c r="C358" s="2" t="str">
        <f t="shared" si="17"/>
        <v/>
      </c>
      <c r="D358" s="2" t="str">
        <f>IF(A358="","",MIN('Loan Inputs'!$B$17,C358+E358)+H358)</f>
        <v/>
      </c>
      <c r="E358" s="2" t="str">
        <f>IF(A358="","",C358*'Loan Inputs'!$B$15)</f>
        <v/>
      </c>
      <c r="F358" s="2" t="str">
        <f t="shared" si="15"/>
        <v/>
      </c>
      <c r="G358" s="2" t="str">
        <f t="shared" si="16"/>
        <v/>
      </c>
      <c r="H358" s="2" t="str">
        <f>IF(A358="","",MIN('Loan Inputs'!$B$18,MAX(0,C358+E358-'Loan Inputs'!$B$17)))</f>
        <v/>
      </c>
    </row>
    <row r="359" spans="1:8" ht="22" customHeight="1">
      <c r="A359" s="1" t="str">
        <f>IF(AND('Loan Inputs'!$B$12,353&lt;=IF('Loan Inputs'!$B$12,'Loan Inputs'!$B$7,0)*'Loan Inputs'!$B$14+5*'Loan Inputs'!$B$14,ISNUMBER(G358),G358&gt;0),353,"")</f>
        <v/>
      </c>
      <c r="B359" s="4" t="str">
        <f>IF(A359="","",IF('Loan Inputs'!$B$14=12,DATE(YEAR('Loan Inputs'!$B$8),MONTH('Loan Inputs'!$B$8)+A359,DAY('Loan Inputs'!$B$8)),'Loan Inputs'!$B$8+A359*IF('Loan Inputs'!$B$14=26,14,7)))</f>
        <v/>
      </c>
      <c r="C359" s="2" t="str">
        <f t="shared" si="17"/>
        <v/>
      </c>
      <c r="D359" s="2" t="str">
        <f>IF(A359="","",MIN('Loan Inputs'!$B$17,C359+E359)+H359)</f>
        <v/>
      </c>
      <c r="E359" s="2" t="str">
        <f>IF(A359="","",C359*'Loan Inputs'!$B$15)</f>
        <v/>
      </c>
      <c r="F359" s="2" t="str">
        <f t="shared" si="15"/>
        <v/>
      </c>
      <c r="G359" s="2" t="str">
        <f t="shared" si="16"/>
        <v/>
      </c>
      <c r="H359" s="2" t="str">
        <f>IF(A359="","",MIN('Loan Inputs'!$B$18,MAX(0,C359+E359-'Loan Inputs'!$B$17)))</f>
        <v/>
      </c>
    </row>
    <row r="360" spans="1:8" ht="22" customHeight="1">
      <c r="A360" s="1" t="str">
        <f>IF(AND('Loan Inputs'!$B$12,354&lt;=IF('Loan Inputs'!$B$12,'Loan Inputs'!$B$7,0)*'Loan Inputs'!$B$14+5*'Loan Inputs'!$B$14,ISNUMBER(G359),G359&gt;0),354,"")</f>
        <v/>
      </c>
      <c r="B360" s="4" t="str">
        <f>IF(A360="","",IF('Loan Inputs'!$B$14=12,DATE(YEAR('Loan Inputs'!$B$8),MONTH('Loan Inputs'!$B$8)+A360,DAY('Loan Inputs'!$B$8)),'Loan Inputs'!$B$8+A360*IF('Loan Inputs'!$B$14=26,14,7)))</f>
        <v/>
      </c>
      <c r="C360" s="2" t="str">
        <f t="shared" si="17"/>
        <v/>
      </c>
      <c r="D360" s="2" t="str">
        <f>IF(A360="","",MIN('Loan Inputs'!$B$17,C360+E360)+H360)</f>
        <v/>
      </c>
      <c r="E360" s="2" t="str">
        <f>IF(A360="","",C360*'Loan Inputs'!$B$15)</f>
        <v/>
      </c>
      <c r="F360" s="2" t="str">
        <f t="shared" si="15"/>
        <v/>
      </c>
      <c r="G360" s="2" t="str">
        <f t="shared" si="16"/>
        <v/>
      </c>
      <c r="H360" s="2" t="str">
        <f>IF(A360="","",MIN('Loan Inputs'!$B$18,MAX(0,C360+E360-'Loan Inputs'!$B$17)))</f>
        <v/>
      </c>
    </row>
    <row r="361" spans="1:8" ht="22" customHeight="1">
      <c r="A361" s="1" t="str">
        <f>IF(AND('Loan Inputs'!$B$12,355&lt;=IF('Loan Inputs'!$B$12,'Loan Inputs'!$B$7,0)*'Loan Inputs'!$B$14+5*'Loan Inputs'!$B$14,ISNUMBER(G360),G360&gt;0),355,"")</f>
        <v/>
      </c>
      <c r="B361" s="4" t="str">
        <f>IF(A361="","",IF('Loan Inputs'!$B$14=12,DATE(YEAR('Loan Inputs'!$B$8),MONTH('Loan Inputs'!$B$8)+A361,DAY('Loan Inputs'!$B$8)),'Loan Inputs'!$B$8+A361*IF('Loan Inputs'!$B$14=26,14,7)))</f>
        <v/>
      </c>
      <c r="C361" s="2" t="str">
        <f t="shared" si="17"/>
        <v/>
      </c>
      <c r="D361" s="2" t="str">
        <f>IF(A361="","",MIN('Loan Inputs'!$B$17,C361+E361)+H361)</f>
        <v/>
      </c>
      <c r="E361" s="2" t="str">
        <f>IF(A361="","",C361*'Loan Inputs'!$B$15)</f>
        <v/>
      </c>
      <c r="F361" s="2" t="str">
        <f t="shared" si="15"/>
        <v/>
      </c>
      <c r="G361" s="2" t="str">
        <f t="shared" si="16"/>
        <v/>
      </c>
      <c r="H361" s="2" t="str">
        <f>IF(A361="","",MIN('Loan Inputs'!$B$18,MAX(0,C361+E361-'Loan Inputs'!$B$17)))</f>
        <v/>
      </c>
    </row>
    <row r="362" spans="1:8" ht="22" customHeight="1">
      <c r="A362" s="1" t="str">
        <f>IF(AND('Loan Inputs'!$B$12,356&lt;=IF('Loan Inputs'!$B$12,'Loan Inputs'!$B$7,0)*'Loan Inputs'!$B$14+5*'Loan Inputs'!$B$14,ISNUMBER(G361),G361&gt;0),356,"")</f>
        <v/>
      </c>
      <c r="B362" s="4" t="str">
        <f>IF(A362="","",IF('Loan Inputs'!$B$14=12,DATE(YEAR('Loan Inputs'!$B$8),MONTH('Loan Inputs'!$B$8)+A362,DAY('Loan Inputs'!$B$8)),'Loan Inputs'!$B$8+A362*IF('Loan Inputs'!$B$14=26,14,7)))</f>
        <v/>
      </c>
      <c r="C362" s="2" t="str">
        <f t="shared" si="17"/>
        <v/>
      </c>
      <c r="D362" s="2" t="str">
        <f>IF(A362="","",MIN('Loan Inputs'!$B$17,C362+E362)+H362)</f>
        <v/>
      </c>
      <c r="E362" s="2" t="str">
        <f>IF(A362="","",C362*'Loan Inputs'!$B$15)</f>
        <v/>
      </c>
      <c r="F362" s="2" t="str">
        <f t="shared" si="15"/>
        <v/>
      </c>
      <c r="G362" s="2" t="str">
        <f t="shared" si="16"/>
        <v/>
      </c>
      <c r="H362" s="2" t="str">
        <f>IF(A362="","",MIN('Loan Inputs'!$B$18,MAX(0,C362+E362-'Loan Inputs'!$B$17)))</f>
        <v/>
      </c>
    </row>
    <row r="363" spans="1:8" ht="22" customHeight="1">
      <c r="A363" s="1" t="str">
        <f>IF(AND('Loan Inputs'!$B$12,357&lt;=IF('Loan Inputs'!$B$12,'Loan Inputs'!$B$7,0)*'Loan Inputs'!$B$14+5*'Loan Inputs'!$B$14,ISNUMBER(G362),G362&gt;0),357,"")</f>
        <v/>
      </c>
      <c r="B363" s="4" t="str">
        <f>IF(A363="","",IF('Loan Inputs'!$B$14=12,DATE(YEAR('Loan Inputs'!$B$8),MONTH('Loan Inputs'!$B$8)+A363,DAY('Loan Inputs'!$B$8)),'Loan Inputs'!$B$8+A363*IF('Loan Inputs'!$B$14=26,14,7)))</f>
        <v/>
      </c>
      <c r="C363" s="2" t="str">
        <f t="shared" si="17"/>
        <v/>
      </c>
      <c r="D363" s="2" t="str">
        <f>IF(A363="","",MIN('Loan Inputs'!$B$17,C363+E363)+H363)</f>
        <v/>
      </c>
      <c r="E363" s="2" t="str">
        <f>IF(A363="","",C363*'Loan Inputs'!$B$15)</f>
        <v/>
      </c>
      <c r="F363" s="2" t="str">
        <f t="shared" si="15"/>
        <v/>
      </c>
      <c r="G363" s="2" t="str">
        <f t="shared" si="16"/>
        <v/>
      </c>
      <c r="H363" s="2" t="str">
        <f>IF(A363="","",MIN('Loan Inputs'!$B$18,MAX(0,C363+E363-'Loan Inputs'!$B$17)))</f>
        <v/>
      </c>
    </row>
    <row r="364" spans="1:8" ht="22" customHeight="1">
      <c r="A364" s="1" t="str">
        <f>IF(AND('Loan Inputs'!$B$12,358&lt;=IF('Loan Inputs'!$B$12,'Loan Inputs'!$B$7,0)*'Loan Inputs'!$B$14+5*'Loan Inputs'!$B$14,ISNUMBER(G363),G363&gt;0),358,"")</f>
        <v/>
      </c>
      <c r="B364" s="4" t="str">
        <f>IF(A364="","",IF('Loan Inputs'!$B$14=12,DATE(YEAR('Loan Inputs'!$B$8),MONTH('Loan Inputs'!$B$8)+A364,DAY('Loan Inputs'!$B$8)),'Loan Inputs'!$B$8+A364*IF('Loan Inputs'!$B$14=26,14,7)))</f>
        <v/>
      </c>
      <c r="C364" s="2" t="str">
        <f t="shared" si="17"/>
        <v/>
      </c>
      <c r="D364" s="2" t="str">
        <f>IF(A364="","",MIN('Loan Inputs'!$B$17,C364+E364)+H364)</f>
        <v/>
      </c>
      <c r="E364" s="2" t="str">
        <f>IF(A364="","",C364*'Loan Inputs'!$B$15)</f>
        <v/>
      </c>
      <c r="F364" s="2" t="str">
        <f t="shared" si="15"/>
        <v/>
      </c>
      <c r="G364" s="2" t="str">
        <f t="shared" si="16"/>
        <v/>
      </c>
      <c r="H364" s="2" t="str">
        <f>IF(A364="","",MIN('Loan Inputs'!$B$18,MAX(0,C364+E364-'Loan Inputs'!$B$17)))</f>
        <v/>
      </c>
    </row>
    <row r="365" spans="1:8" ht="22" customHeight="1">
      <c r="A365" s="1" t="str">
        <f>IF(AND('Loan Inputs'!$B$12,359&lt;=IF('Loan Inputs'!$B$12,'Loan Inputs'!$B$7,0)*'Loan Inputs'!$B$14+5*'Loan Inputs'!$B$14,ISNUMBER(G364),G364&gt;0),359,"")</f>
        <v/>
      </c>
      <c r="B365" s="4" t="str">
        <f>IF(A365="","",IF('Loan Inputs'!$B$14=12,DATE(YEAR('Loan Inputs'!$B$8),MONTH('Loan Inputs'!$B$8)+A365,DAY('Loan Inputs'!$B$8)),'Loan Inputs'!$B$8+A365*IF('Loan Inputs'!$B$14=26,14,7)))</f>
        <v/>
      </c>
      <c r="C365" s="2" t="str">
        <f t="shared" si="17"/>
        <v/>
      </c>
      <c r="D365" s="2" t="str">
        <f>IF(A365="","",MIN('Loan Inputs'!$B$17,C365+E365)+H365)</f>
        <v/>
      </c>
      <c r="E365" s="2" t="str">
        <f>IF(A365="","",C365*'Loan Inputs'!$B$15)</f>
        <v/>
      </c>
      <c r="F365" s="2" t="str">
        <f t="shared" si="15"/>
        <v/>
      </c>
      <c r="G365" s="2" t="str">
        <f t="shared" si="16"/>
        <v/>
      </c>
      <c r="H365" s="2" t="str">
        <f>IF(A365="","",MIN('Loan Inputs'!$B$18,MAX(0,C365+E365-'Loan Inputs'!$B$17)))</f>
        <v/>
      </c>
    </row>
    <row r="366" spans="1:8" ht="22" customHeight="1">
      <c r="A366" s="1" t="str">
        <f>IF(AND('Loan Inputs'!$B$12,360&lt;=IF('Loan Inputs'!$B$12,'Loan Inputs'!$B$7,0)*'Loan Inputs'!$B$14+5*'Loan Inputs'!$B$14,ISNUMBER(G365),G365&gt;0),360,"")</f>
        <v/>
      </c>
      <c r="B366" s="4" t="str">
        <f>IF(A366="","",IF('Loan Inputs'!$B$14=12,DATE(YEAR('Loan Inputs'!$B$8),MONTH('Loan Inputs'!$B$8)+A366,DAY('Loan Inputs'!$B$8)),'Loan Inputs'!$B$8+A366*IF('Loan Inputs'!$B$14=26,14,7)))</f>
        <v/>
      </c>
      <c r="C366" s="2" t="str">
        <f t="shared" si="17"/>
        <v/>
      </c>
      <c r="D366" s="2" t="str">
        <f>IF(A366="","",MIN('Loan Inputs'!$B$17,C366+E366)+H366)</f>
        <v/>
      </c>
      <c r="E366" s="2" t="str">
        <f>IF(A366="","",C366*'Loan Inputs'!$B$15)</f>
        <v/>
      </c>
      <c r="F366" s="2" t="str">
        <f t="shared" si="15"/>
        <v/>
      </c>
      <c r="G366" s="2" t="str">
        <f t="shared" si="16"/>
        <v/>
      </c>
      <c r="H366" s="2" t="str">
        <f>IF(A366="","",MIN('Loan Inputs'!$B$18,MAX(0,C366+E366-'Loan Inputs'!$B$17)))</f>
        <v/>
      </c>
    </row>
    <row r="367" spans="1:8" ht="22" customHeight="1">
      <c r="A367" s="1" t="str">
        <f>IF(AND('Loan Inputs'!$B$12,361&lt;=IF('Loan Inputs'!$B$12,'Loan Inputs'!$B$7,0)*'Loan Inputs'!$B$14+5*'Loan Inputs'!$B$14,ISNUMBER(G366),G366&gt;0),361,"")</f>
        <v/>
      </c>
      <c r="B367" s="4" t="str">
        <f>IF(A367="","",IF('Loan Inputs'!$B$14=12,DATE(YEAR('Loan Inputs'!$B$8),MONTH('Loan Inputs'!$B$8)+A367,DAY('Loan Inputs'!$B$8)),'Loan Inputs'!$B$8+A367*IF('Loan Inputs'!$B$14=26,14,7)))</f>
        <v/>
      </c>
      <c r="C367" s="2" t="str">
        <f t="shared" si="17"/>
        <v/>
      </c>
      <c r="D367" s="2" t="str">
        <f>IF(A367="","",MIN('Loan Inputs'!$B$17,C367+E367)+H367)</f>
        <v/>
      </c>
      <c r="E367" s="2" t="str">
        <f>IF(A367="","",C367*'Loan Inputs'!$B$15)</f>
        <v/>
      </c>
      <c r="F367" s="2" t="str">
        <f t="shared" si="15"/>
        <v/>
      </c>
      <c r="G367" s="2" t="str">
        <f t="shared" si="16"/>
        <v/>
      </c>
      <c r="H367" s="2" t="str">
        <f>IF(A367="","",MIN('Loan Inputs'!$B$18,MAX(0,C367+E367-'Loan Inputs'!$B$17)))</f>
        <v/>
      </c>
    </row>
    <row r="368" spans="1:8" ht="22" customHeight="1">
      <c r="A368" s="1" t="str">
        <f>IF(AND('Loan Inputs'!$B$12,362&lt;=IF('Loan Inputs'!$B$12,'Loan Inputs'!$B$7,0)*'Loan Inputs'!$B$14+5*'Loan Inputs'!$B$14,ISNUMBER(G367),G367&gt;0),362,"")</f>
        <v/>
      </c>
      <c r="B368" s="4" t="str">
        <f>IF(A368="","",IF('Loan Inputs'!$B$14=12,DATE(YEAR('Loan Inputs'!$B$8),MONTH('Loan Inputs'!$B$8)+A368,DAY('Loan Inputs'!$B$8)),'Loan Inputs'!$B$8+A368*IF('Loan Inputs'!$B$14=26,14,7)))</f>
        <v/>
      </c>
      <c r="C368" s="2" t="str">
        <f t="shared" si="17"/>
        <v/>
      </c>
      <c r="D368" s="2" t="str">
        <f>IF(A368="","",MIN('Loan Inputs'!$B$17,C368+E368)+H368)</f>
        <v/>
      </c>
      <c r="E368" s="2" t="str">
        <f>IF(A368="","",C368*'Loan Inputs'!$B$15)</f>
        <v/>
      </c>
      <c r="F368" s="2" t="str">
        <f t="shared" si="15"/>
        <v/>
      </c>
      <c r="G368" s="2" t="str">
        <f t="shared" si="16"/>
        <v/>
      </c>
      <c r="H368" s="2" t="str">
        <f>IF(A368="","",MIN('Loan Inputs'!$B$18,MAX(0,C368+E368-'Loan Inputs'!$B$17)))</f>
        <v/>
      </c>
    </row>
    <row r="369" spans="1:8" ht="22" customHeight="1">
      <c r="A369" s="1" t="str">
        <f>IF(AND('Loan Inputs'!$B$12,363&lt;=IF('Loan Inputs'!$B$12,'Loan Inputs'!$B$7,0)*'Loan Inputs'!$B$14+5*'Loan Inputs'!$B$14,ISNUMBER(G368),G368&gt;0),363,"")</f>
        <v/>
      </c>
      <c r="B369" s="4" t="str">
        <f>IF(A369="","",IF('Loan Inputs'!$B$14=12,DATE(YEAR('Loan Inputs'!$B$8),MONTH('Loan Inputs'!$B$8)+A369,DAY('Loan Inputs'!$B$8)),'Loan Inputs'!$B$8+A369*IF('Loan Inputs'!$B$14=26,14,7)))</f>
        <v/>
      </c>
      <c r="C369" s="2" t="str">
        <f t="shared" si="17"/>
        <v/>
      </c>
      <c r="D369" s="2" t="str">
        <f>IF(A369="","",MIN('Loan Inputs'!$B$17,C369+E369)+H369)</f>
        <v/>
      </c>
      <c r="E369" s="2" t="str">
        <f>IF(A369="","",C369*'Loan Inputs'!$B$15)</f>
        <v/>
      </c>
      <c r="F369" s="2" t="str">
        <f t="shared" si="15"/>
        <v/>
      </c>
      <c r="G369" s="2" t="str">
        <f t="shared" si="16"/>
        <v/>
      </c>
      <c r="H369" s="2" t="str">
        <f>IF(A369="","",MIN('Loan Inputs'!$B$18,MAX(0,C369+E369-'Loan Inputs'!$B$17)))</f>
        <v/>
      </c>
    </row>
    <row r="370" spans="1:8" ht="22" customHeight="1">
      <c r="A370" s="1" t="str">
        <f>IF(AND('Loan Inputs'!$B$12,364&lt;=IF('Loan Inputs'!$B$12,'Loan Inputs'!$B$7,0)*'Loan Inputs'!$B$14+5*'Loan Inputs'!$B$14,ISNUMBER(G369),G369&gt;0),364,"")</f>
        <v/>
      </c>
      <c r="B370" s="4" t="str">
        <f>IF(A370="","",IF('Loan Inputs'!$B$14=12,DATE(YEAR('Loan Inputs'!$B$8),MONTH('Loan Inputs'!$B$8)+A370,DAY('Loan Inputs'!$B$8)),'Loan Inputs'!$B$8+A370*IF('Loan Inputs'!$B$14=26,14,7)))</f>
        <v/>
      </c>
      <c r="C370" s="2" t="str">
        <f t="shared" si="17"/>
        <v/>
      </c>
      <c r="D370" s="2" t="str">
        <f>IF(A370="","",MIN('Loan Inputs'!$B$17,C370+E370)+H370)</f>
        <v/>
      </c>
      <c r="E370" s="2" t="str">
        <f>IF(A370="","",C370*'Loan Inputs'!$B$15)</f>
        <v/>
      </c>
      <c r="F370" s="2" t="str">
        <f t="shared" si="15"/>
        <v/>
      </c>
      <c r="G370" s="2" t="str">
        <f t="shared" si="16"/>
        <v/>
      </c>
      <c r="H370" s="2" t="str">
        <f>IF(A370="","",MIN('Loan Inputs'!$B$18,MAX(0,C370+E370-'Loan Inputs'!$B$17)))</f>
        <v/>
      </c>
    </row>
    <row r="371" spans="1:8" ht="22" customHeight="1">
      <c r="A371" s="1" t="str">
        <f>IF(AND('Loan Inputs'!$B$12,365&lt;=IF('Loan Inputs'!$B$12,'Loan Inputs'!$B$7,0)*'Loan Inputs'!$B$14+5*'Loan Inputs'!$B$14,ISNUMBER(G370),G370&gt;0),365,"")</f>
        <v/>
      </c>
      <c r="B371" s="4" t="str">
        <f>IF(A371="","",IF('Loan Inputs'!$B$14=12,DATE(YEAR('Loan Inputs'!$B$8),MONTH('Loan Inputs'!$B$8)+A371,DAY('Loan Inputs'!$B$8)),'Loan Inputs'!$B$8+A371*IF('Loan Inputs'!$B$14=26,14,7)))</f>
        <v/>
      </c>
      <c r="C371" s="2" t="str">
        <f t="shared" si="17"/>
        <v/>
      </c>
      <c r="D371" s="2" t="str">
        <f>IF(A371="","",MIN('Loan Inputs'!$B$17,C371+E371)+H371)</f>
        <v/>
      </c>
      <c r="E371" s="2" t="str">
        <f>IF(A371="","",C371*'Loan Inputs'!$B$15)</f>
        <v/>
      </c>
      <c r="F371" s="2" t="str">
        <f t="shared" si="15"/>
        <v/>
      </c>
      <c r="G371" s="2" t="str">
        <f t="shared" si="16"/>
        <v/>
      </c>
      <c r="H371" s="2" t="str">
        <f>IF(A371="","",MIN('Loan Inputs'!$B$18,MAX(0,C371+E371-'Loan Inputs'!$B$17)))</f>
        <v/>
      </c>
    </row>
    <row r="372" spans="1:8" ht="22" customHeight="1">
      <c r="A372" s="1" t="str">
        <f>IF(AND('Loan Inputs'!$B$12,366&lt;=IF('Loan Inputs'!$B$12,'Loan Inputs'!$B$7,0)*'Loan Inputs'!$B$14+5*'Loan Inputs'!$B$14,ISNUMBER(G371),G371&gt;0),366,"")</f>
        <v/>
      </c>
      <c r="B372" s="4" t="str">
        <f>IF(A372="","",IF('Loan Inputs'!$B$14=12,DATE(YEAR('Loan Inputs'!$B$8),MONTH('Loan Inputs'!$B$8)+A372,DAY('Loan Inputs'!$B$8)),'Loan Inputs'!$B$8+A372*IF('Loan Inputs'!$B$14=26,14,7)))</f>
        <v/>
      </c>
      <c r="C372" s="2" t="str">
        <f t="shared" si="17"/>
        <v/>
      </c>
      <c r="D372" s="2" t="str">
        <f>IF(A372="","",MIN('Loan Inputs'!$B$17,C372+E372)+H372)</f>
        <v/>
      </c>
      <c r="E372" s="2" t="str">
        <f>IF(A372="","",C372*'Loan Inputs'!$B$15)</f>
        <v/>
      </c>
      <c r="F372" s="2" t="str">
        <f t="shared" si="15"/>
        <v/>
      </c>
      <c r="G372" s="2" t="str">
        <f t="shared" si="16"/>
        <v/>
      </c>
      <c r="H372" s="2" t="str">
        <f>IF(A372="","",MIN('Loan Inputs'!$B$18,MAX(0,C372+E372-'Loan Inputs'!$B$17)))</f>
        <v/>
      </c>
    </row>
    <row r="373" spans="1:8" ht="22" customHeight="1">
      <c r="A373" s="1" t="str">
        <f>IF(AND('Loan Inputs'!$B$12,367&lt;=IF('Loan Inputs'!$B$12,'Loan Inputs'!$B$7,0)*'Loan Inputs'!$B$14+5*'Loan Inputs'!$B$14,ISNUMBER(G372),G372&gt;0),367,"")</f>
        <v/>
      </c>
      <c r="B373" s="4" t="str">
        <f>IF(A373="","",IF('Loan Inputs'!$B$14=12,DATE(YEAR('Loan Inputs'!$B$8),MONTH('Loan Inputs'!$B$8)+A373,DAY('Loan Inputs'!$B$8)),'Loan Inputs'!$B$8+A373*IF('Loan Inputs'!$B$14=26,14,7)))</f>
        <v/>
      </c>
      <c r="C373" s="2" t="str">
        <f t="shared" si="17"/>
        <v/>
      </c>
      <c r="D373" s="2" t="str">
        <f>IF(A373="","",MIN('Loan Inputs'!$B$17,C373+E373)+H373)</f>
        <v/>
      </c>
      <c r="E373" s="2" t="str">
        <f>IF(A373="","",C373*'Loan Inputs'!$B$15)</f>
        <v/>
      </c>
      <c r="F373" s="2" t="str">
        <f t="shared" si="15"/>
        <v/>
      </c>
      <c r="G373" s="2" t="str">
        <f t="shared" si="16"/>
        <v/>
      </c>
      <c r="H373" s="2" t="str">
        <f>IF(A373="","",MIN('Loan Inputs'!$B$18,MAX(0,C373+E373-'Loan Inputs'!$B$17)))</f>
        <v/>
      </c>
    </row>
    <row r="374" spans="1:8" ht="22" customHeight="1">
      <c r="A374" s="1" t="str">
        <f>IF(AND('Loan Inputs'!$B$12,368&lt;=IF('Loan Inputs'!$B$12,'Loan Inputs'!$B$7,0)*'Loan Inputs'!$B$14+5*'Loan Inputs'!$B$14,ISNUMBER(G373),G373&gt;0),368,"")</f>
        <v/>
      </c>
      <c r="B374" s="4" t="str">
        <f>IF(A374="","",IF('Loan Inputs'!$B$14=12,DATE(YEAR('Loan Inputs'!$B$8),MONTH('Loan Inputs'!$B$8)+A374,DAY('Loan Inputs'!$B$8)),'Loan Inputs'!$B$8+A374*IF('Loan Inputs'!$B$14=26,14,7)))</f>
        <v/>
      </c>
      <c r="C374" s="2" t="str">
        <f t="shared" si="17"/>
        <v/>
      </c>
      <c r="D374" s="2" t="str">
        <f>IF(A374="","",MIN('Loan Inputs'!$B$17,C374+E374)+H374)</f>
        <v/>
      </c>
      <c r="E374" s="2" t="str">
        <f>IF(A374="","",C374*'Loan Inputs'!$B$15)</f>
        <v/>
      </c>
      <c r="F374" s="2" t="str">
        <f t="shared" si="15"/>
        <v/>
      </c>
      <c r="G374" s="2" t="str">
        <f t="shared" si="16"/>
        <v/>
      </c>
      <c r="H374" s="2" t="str">
        <f>IF(A374="","",MIN('Loan Inputs'!$B$18,MAX(0,C374+E374-'Loan Inputs'!$B$17)))</f>
        <v/>
      </c>
    </row>
    <row r="375" spans="1:8" ht="22" customHeight="1">
      <c r="A375" s="1" t="str">
        <f>IF(AND('Loan Inputs'!$B$12,369&lt;=IF('Loan Inputs'!$B$12,'Loan Inputs'!$B$7,0)*'Loan Inputs'!$B$14+5*'Loan Inputs'!$B$14,ISNUMBER(G374),G374&gt;0),369,"")</f>
        <v/>
      </c>
      <c r="B375" s="4" t="str">
        <f>IF(A375="","",IF('Loan Inputs'!$B$14=12,DATE(YEAR('Loan Inputs'!$B$8),MONTH('Loan Inputs'!$B$8)+A375,DAY('Loan Inputs'!$B$8)),'Loan Inputs'!$B$8+A375*IF('Loan Inputs'!$B$14=26,14,7)))</f>
        <v/>
      </c>
      <c r="C375" s="2" t="str">
        <f t="shared" si="17"/>
        <v/>
      </c>
      <c r="D375" s="2" t="str">
        <f>IF(A375="","",MIN('Loan Inputs'!$B$17,C375+E375)+H375)</f>
        <v/>
      </c>
      <c r="E375" s="2" t="str">
        <f>IF(A375="","",C375*'Loan Inputs'!$B$15)</f>
        <v/>
      </c>
      <c r="F375" s="2" t="str">
        <f t="shared" si="15"/>
        <v/>
      </c>
      <c r="G375" s="2" t="str">
        <f t="shared" si="16"/>
        <v/>
      </c>
      <c r="H375" s="2" t="str">
        <f>IF(A375="","",MIN('Loan Inputs'!$B$18,MAX(0,C375+E375-'Loan Inputs'!$B$17)))</f>
        <v/>
      </c>
    </row>
    <row r="376" spans="1:8" ht="22" customHeight="1">
      <c r="A376" s="1" t="str">
        <f>IF(AND('Loan Inputs'!$B$12,370&lt;=IF('Loan Inputs'!$B$12,'Loan Inputs'!$B$7,0)*'Loan Inputs'!$B$14+5*'Loan Inputs'!$B$14,ISNUMBER(G375),G375&gt;0),370,"")</f>
        <v/>
      </c>
      <c r="B376" s="4" t="str">
        <f>IF(A376="","",IF('Loan Inputs'!$B$14=12,DATE(YEAR('Loan Inputs'!$B$8),MONTH('Loan Inputs'!$B$8)+A376,DAY('Loan Inputs'!$B$8)),'Loan Inputs'!$B$8+A376*IF('Loan Inputs'!$B$14=26,14,7)))</f>
        <v/>
      </c>
      <c r="C376" s="2" t="str">
        <f t="shared" si="17"/>
        <v/>
      </c>
      <c r="D376" s="2" t="str">
        <f>IF(A376="","",MIN('Loan Inputs'!$B$17,C376+E376)+H376)</f>
        <v/>
      </c>
      <c r="E376" s="2" t="str">
        <f>IF(A376="","",C376*'Loan Inputs'!$B$15)</f>
        <v/>
      </c>
      <c r="F376" s="2" t="str">
        <f t="shared" si="15"/>
        <v/>
      </c>
      <c r="G376" s="2" t="str">
        <f t="shared" si="16"/>
        <v/>
      </c>
      <c r="H376" s="2" t="str">
        <f>IF(A376="","",MIN('Loan Inputs'!$B$18,MAX(0,C376+E376-'Loan Inputs'!$B$17)))</f>
        <v/>
      </c>
    </row>
    <row r="377" spans="1:8" ht="22" customHeight="1">
      <c r="A377" s="1" t="str">
        <f>IF(AND('Loan Inputs'!$B$12,371&lt;=IF('Loan Inputs'!$B$12,'Loan Inputs'!$B$7,0)*'Loan Inputs'!$B$14+5*'Loan Inputs'!$B$14,ISNUMBER(G376),G376&gt;0),371,"")</f>
        <v/>
      </c>
      <c r="B377" s="4" t="str">
        <f>IF(A377="","",IF('Loan Inputs'!$B$14=12,DATE(YEAR('Loan Inputs'!$B$8),MONTH('Loan Inputs'!$B$8)+A377,DAY('Loan Inputs'!$B$8)),'Loan Inputs'!$B$8+A377*IF('Loan Inputs'!$B$14=26,14,7)))</f>
        <v/>
      </c>
      <c r="C377" s="2" t="str">
        <f t="shared" si="17"/>
        <v/>
      </c>
      <c r="D377" s="2" t="str">
        <f>IF(A377="","",MIN('Loan Inputs'!$B$17,C377+E377)+H377)</f>
        <v/>
      </c>
      <c r="E377" s="2" t="str">
        <f>IF(A377="","",C377*'Loan Inputs'!$B$15)</f>
        <v/>
      </c>
      <c r="F377" s="2" t="str">
        <f t="shared" si="15"/>
        <v/>
      </c>
      <c r="G377" s="2" t="str">
        <f t="shared" si="16"/>
        <v/>
      </c>
      <c r="H377" s="2" t="str">
        <f>IF(A377="","",MIN('Loan Inputs'!$B$18,MAX(0,C377+E377-'Loan Inputs'!$B$17)))</f>
        <v/>
      </c>
    </row>
    <row r="378" spans="1:8" ht="22" customHeight="1">
      <c r="A378" s="1" t="str">
        <f>IF(AND('Loan Inputs'!$B$12,372&lt;=IF('Loan Inputs'!$B$12,'Loan Inputs'!$B$7,0)*'Loan Inputs'!$B$14+5*'Loan Inputs'!$B$14,ISNUMBER(G377),G377&gt;0),372,"")</f>
        <v/>
      </c>
      <c r="B378" s="4" t="str">
        <f>IF(A378="","",IF('Loan Inputs'!$B$14=12,DATE(YEAR('Loan Inputs'!$B$8),MONTH('Loan Inputs'!$B$8)+A378,DAY('Loan Inputs'!$B$8)),'Loan Inputs'!$B$8+A378*IF('Loan Inputs'!$B$14=26,14,7)))</f>
        <v/>
      </c>
      <c r="C378" s="2" t="str">
        <f t="shared" si="17"/>
        <v/>
      </c>
      <c r="D378" s="2" t="str">
        <f>IF(A378="","",MIN('Loan Inputs'!$B$17,C378+E378)+H378)</f>
        <v/>
      </c>
      <c r="E378" s="2" t="str">
        <f>IF(A378="","",C378*'Loan Inputs'!$B$15)</f>
        <v/>
      </c>
      <c r="F378" s="2" t="str">
        <f t="shared" si="15"/>
        <v/>
      </c>
      <c r="G378" s="2" t="str">
        <f t="shared" si="16"/>
        <v/>
      </c>
      <c r="H378" s="2" t="str">
        <f>IF(A378="","",MIN('Loan Inputs'!$B$18,MAX(0,C378+E378-'Loan Inputs'!$B$17)))</f>
        <v/>
      </c>
    </row>
    <row r="379" spans="1:8" ht="22" customHeight="1">
      <c r="A379" s="1" t="str">
        <f>IF(AND('Loan Inputs'!$B$12,373&lt;=IF('Loan Inputs'!$B$12,'Loan Inputs'!$B$7,0)*'Loan Inputs'!$B$14+5*'Loan Inputs'!$B$14,ISNUMBER(G378),G378&gt;0),373,"")</f>
        <v/>
      </c>
      <c r="B379" s="4" t="str">
        <f>IF(A379="","",IF('Loan Inputs'!$B$14=12,DATE(YEAR('Loan Inputs'!$B$8),MONTH('Loan Inputs'!$B$8)+A379,DAY('Loan Inputs'!$B$8)),'Loan Inputs'!$B$8+A379*IF('Loan Inputs'!$B$14=26,14,7)))</f>
        <v/>
      </c>
      <c r="C379" s="2" t="str">
        <f t="shared" si="17"/>
        <v/>
      </c>
      <c r="D379" s="2" t="str">
        <f>IF(A379="","",MIN('Loan Inputs'!$B$17,C379+E379)+H379)</f>
        <v/>
      </c>
      <c r="E379" s="2" t="str">
        <f>IF(A379="","",C379*'Loan Inputs'!$B$15)</f>
        <v/>
      </c>
      <c r="F379" s="2" t="str">
        <f t="shared" si="15"/>
        <v/>
      </c>
      <c r="G379" s="2" t="str">
        <f t="shared" si="16"/>
        <v/>
      </c>
      <c r="H379" s="2" t="str">
        <f>IF(A379="","",MIN('Loan Inputs'!$B$18,MAX(0,C379+E379-'Loan Inputs'!$B$17)))</f>
        <v/>
      </c>
    </row>
    <row r="380" spans="1:8" ht="22" customHeight="1">
      <c r="A380" s="1" t="str">
        <f>IF(AND('Loan Inputs'!$B$12,374&lt;=IF('Loan Inputs'!$B$12,'Loan Inputs'!$B$7,0)*'Loan Inputs'!$B$14+5*'Loan Inputs'!$B$14,ISNUMBER(G379),G379&gt;0),374,"")</f>
        <v/>
      </c>
      <c r="B380" s="4" t="str">
        <f>IF(A380="","",IF('Loan Inputs'!$B$14=12,DATE(YEAR('Loan Inputs'!$B$8),MONTH('Loan Inputs'!$B$8)+A380,DAY('Loan Inputs'!$B$8)),'Loan Inputs'!$B$8+A380*IF('Loan Inputs'!$B$14=26,14,7)))</f>
        <v/>
      </c>
      <c r="C380" s="2" t="str">
        <f t="shared" si="17"/>
        <v/>
      </c>
      <c r="D380" s="2" t="str">
        <f>IF(A380="","",MIN('Loan Inputs'!$B$17,C380+E380)+H380)</f>
        <v/>
      </c>
      <c r="E380" s="2" t="str">
        <f>IF(A380="","",C380*'Loan Inputs'!$B$15)</f>
        <v/>
      </c>
      <c r="F380" s="2" t="str">
        <f t="shared" si="15"/>
        <v/>
      </c>
      <c r="G380" s="2" t="str">
        <f t="shared" si="16"/>
        <v/>
      </c>
      <c r="H380" s="2" t="str">
        <f>IF(A380="","",MIN('Loan Inputs'!$B$18,MAX(0,C380+E380-'Loan Inputs'!$B$17)))</f>
        <v/>
      </c>
    </row>
    <row r="381" spans="1:8" ht="22" customHeight="1">
      <c r="A381" s="1" t="str">
        <f>IF(AND('Loan Inputs'!$B$12,375&lt;=IF('Loan Inputs'!$B$12,'Loan Inputs'!$B$7,0)*'Loan Inputs'!$B$14+5*'Loan Inputs'!$B$14,ISNUMBER(G380),G380&gt;0),375,"")</f>
        <v/>
      </c>
      <c r="B381" s="4" t="str">
        <f>IF(A381="","",IF('Loan Inputs'!$B$14=12,DATE(YEAR('Loan Inputs'!$B$8),MONTH('Loan Inputs'!$B$8)+A381,DAY('Loan Inputs'!$B$8)),'Loan Inputs'!$B$8+A381*IF('Loan Inputs'!$B$14=26,14,7)))</f>
        <v/>
      </c>
      <c r="C381" s="2" t="str">
        <f t="shared" si="17"/>
        <v/>
      </c>
      <c r="D381" s="2" t="str">
        <f>IF(A381="","",MIN('Loan Inputs'!$B$17,C381+E381)+H381)</f>
        <v/>
      </c>
      <c r="E381" s="2" t="str">
        <f>IF(A381="","",C381*'Loan Inputs'!$B$15)</f>
        <v/>
      </c>
      <c r="F381" s="2" t="str">
        <f t="shared" si="15"/>
        <v/>
      </c>
      <c r="G381" s="2" t="str">
        <f t="shared" si="16"/>
        <v/>
      </c>
      <c r="H381" s="2" t="str">
        <f>IF(A381="","",MIN('Loan Inputs'!$B$18,MAX(0,C381+E381-'Loan Inputs'!$B$17)))</f>
        <v/>
      </c>
    </row>
    <row r="382" spans="1:8" ht="22" customHeight="1">
      <c r="A382" s="1" t="str">
        <f>IF(AND('Loan Inputs'!$B$12,376&lt;=IF('Loan Inputs'!$B$12,'Loan Inputs'!$B$7,0)*'Loan Inputs'!$B$14+5*'Loan Inputs'!$B$14,ISNUMBER(G381),G381&gt;0),376,"")</f>
        <v/>
      </c>
      <c r="B382" s="4" t="str">
        <f>IF(A382="","",IF('Loan Inputs'!$B$14=12,DATE(YEAR('Loan Inputs'!$B$8),MONTH('Loan Inputs'!$B$8)+A382,DAY('Loan Inputs'!$B$8)),'Loan Inputs'!$B$8+A382*IF('Loan Inputs'!$B$14=26,14,7)))</f>
        <v/>
      </c>
      <c r="C382" s="2" t="str">
        <f t="shared" si="17"/>
        <v/>
      </c>
      <c r="D382" s="2" t="str">
        <f>IF(A382="","",MIN('Loan Inputs'!$B$17,C382+E382)+H382)</f>
        <v/>
      </c>
      <c r="E382" s="2" t="str">
        <f>IF(A382="","",C382*'Loan Inputs'!$B$15)</f>
        <v/>
      </c>
      <c r="F382" s="2" t="str">
        <f t="shared" si="15"/>
        <v/>
      </c>
      <c r="G382" s="2" t="str">
        <f t="shared" si="16"/>
        <v/>
      </c>
      <c r="H382" s="2" t="str">
        <f>IF(A382="","",MIN('Loan Inputs'!$B$18,MAX(0,C382+E382-'Loan Inputs'!$B$17)))</f>
        <v/>
      </c>
    </row>
    <row r="383" spans="1:8" ht="22" customHeight="1">
      <c r="A383" s="1" t="str">
        <f>IF(AND('Loan Inputs'!$B$12,377&lt;=IF('Loan Inputs'!$B$12,'Loan Inputs'!$B$7,0)*'Loan Inputs'!$B$14+5*'Loan Inputs'!$B$14,ISNUMBER(G382),G382&gt;0),377,"")</f>
        <v/>
      </c>
      <c r="B383" s="4" t="str">
        <f>IF(A383="","",IF('Loan Inputs'!$B$14=12,DATE(YEAR('Loan Inputs'!$B$8),MONTH('Loan Inputs'!$B$8)+A383,DAY('Loan Inputs'!$B$8)),'Loan Inputs'!$B$8+A383*IF('Loan Inputs'!$B$14=26,14,7)))</f>
        <v/>
      </c>
      <c r="C383" s="2" t="str">
        <f t="shared" si="17"/>
        <v/>
      </c>
      <c r="D383" s="2" t="str">
        <f>IF(A383="","",MIN('Loan Inputs'!$B$17,C383+E383)+H383)</f>
        <v/>
      </c>
      <c r="E383" s="2" t="str">
        <f>IF(A383="","",C383*'Loan Inputs'!$B$15)</f>
        <v/>
      </c>
      <c r="F383" s="2" t="str">
        <f t="shared" si="15"/>
        <v/>
      </c>
      <c r="G383" s="2" t="str">
        <f t="shared" si="16"/>
        <v/>
      </c>
      <c r="H383" s="2" t="str">
        <f>IF(A383="","",MIN('Loan Inputs'!$B$18,MAX(0,C383+E383-'Loan Inputs'!$B$17)))</f>
        <v/>
      </c>
    </row>
    <row r="384" spans="1:8" ht="22" customHeight="1">
      <c r="A384" s="1" t="str">
        <f>IF(AND('Loan Inputs'!$B$12,378&lt;=IF('Loan Inputs'!$B$12,'Loan Inputs'!$B$7,0)*'Loan Inputs'!$B$14+5*'Loan Inputs'!$B$14,ISNUMBER(G383),G383&gt;0),378,"")</f>
        <v/>
      </c>
      <c r="B384" s="4" t="str">
        <f>IF(A384="","",IF('Loan Inputs'!$B$14=12,DATE(YEAR('Loan Inputs'!$B$8),MONTH('Loan Inputs'!$B$8)+A384,DAY('Loan Inputs'!$B$8)),'Loan Inputs'!$B$8+A384*IF('Loan Inputs'!$B$14=26,14,7)))</f>
        <v/>
      </c>
      <c r="C384" s="2" t="str">
        <f t="shared" si="17"/>
        <v/>
      </c>
      <c r="D384" s="2" t="str">
        <f>IF(A384="","",MIN('Loan Inputs'!$B$17,C384+E384)+H384)</f>
        <v/>
      </c>
      <c r="E384" s="2" t="str">
        <f>IF(A384="","",C384*'Loan Inputs'!$B$15)</f>
        <v/>
      </c>
      <c r="F384" s="2" t="str">
        <f t="shared" si="15"/>
        <v/>
      </c>
      <c r="G384" s="2" t="str">
        <f t="shared" si="16"/>
        <v/>
      </c>
      <c r="H384" s="2" t="str">
        <f>IF(A384="","",MIN('Loan Inputs'!$B$18,MAX(0,C384+E384-'Loan Inputs'!$B$17)))</f>
        <v/>
      </c>
    </row>
    <row r="385" spans="1:8" ht="22" customHeight="1">
      <c r="A385" s="1" t="str">
        <f>IF(AND('Loan Inputs'!$B$12,379&lt;=IF('Loan Inputs'!$B$12,'Loan Inputs'!$B$7,0)*'Loan Inputs'!$B$14+5*'Loan Inputs'!$B$14,ISNUMBER(G384),G384&gt;0),379,"")</f>
        <v/>
      </c>
      <c r="B385" s="4" t="str">
        <f>IF(A385="","",IF('Loan Inputs'!$B$14=12,DATE(YEAR('Loan Inputs'!$B$8),MONTH('Loan Inputs'!$B$8)+A385,DAY('Loan Inputs'!$B$8)),'Loan Inputs'!$B$8+A385*IF('Loan Inputs'!$B$14=26,14,7)))</f>
        <v/>
      </c>
      <c r="C385" s="2" t="str">
        <f t="shared" si="17"/>
        <v/>
      </c>
      <c r="D385" s="2" t="str">
        <f>IF(A385="","",MIN('Loan Inputs'!$B$17,C385+E385)+H385)</f>
        <v/>
      </c>
      <c r="E385" s="2" t="str">
        <f>IF(A385="","",C385*'Loan Inputs'!$B$15)</f>
        <v/>
      </c>
      <c r="F385" s="2" t="str">
        <f t="shared" si="15"/>
        <v/>
      </c>
      <c r="G385" s="2" t="str">
        <f t="shared" si="16"/>
        <v/>
      </c>
      <c r="H385" s="2" t="str">
        <f>IF(A385="","",MIN('Loan Inputs'!$B$18,MAX(0,C385+E385-'Loan Inputs'!$B$17)))</f>
        <v/>
      </c>
    </row>
    <row r="386" spans="1:8" ht="22" customHeight="1">
      <c r="A386" s="1" t="str">
        <f>IF(AND('Loan Inputs'!$B$12,380&lt;=IF('Loan Inputs'!$B$12,'Loan Inputs'!$B$7,0)*'Loan Inputs'!$B$14+5*'Loan Inputs'!$B$14,ISNUMBER(G385),G385&gt;0),380,"")</f>
        <v/>
      </c>
      <c r="B386" s="4" t="str">
        <f>IF(A386="","",IF('Loan Inputs'!$B$14=12,DATE(YEAR('Loan Inputs'!$B$8),MONTH('Loan Inputs'!$B$8)+A386,DAY('Loan Inputs'!$B$8)),'Loan Inputs'!$B$8+A386*IF('Loan Inputs'!$B$14=26,14,7)))</f>
        <v/>
      </c>
      <c r="C386" s="2" t="str">
        <f t="shared" si="17"/>
        <v/>
      </c>
      <c r="D386" s="2" t="str">
        <f>IF(A386="","",MIN('Loan Inputs'!$B$17,C386+E386)+H386)</f>
        <v/>
      </c>
      <c r="E386" s="2" t="str">
        <f>IF(A386="","",C386*'Loan Inputs'!$B$15)</f>
        <v/>
      </c>
      <c r="F386" s="2" t="str">
        <f t="shared" si="15"/>
        <v/>
      </c>
      <c r="G386" s="2" t="str">
        <f t="shared" si="16"/>
        <v/>
      </c>
      <c r="H386" s="2" t="str">
        <f>IF(A386="","",MIN('Loan Inputs'!$B$18,MAX(0,C386+E386-'Loan Inputs'!$B$17)))</f>
        <v/>
      </c>
    </row>
    <row r="387" spans="1:8" ht="22" customHeight="1">
      <c r="A387" s="1" t="str">
        <f>IF(AND('Loan Inputs'!$B$12,381&lt;=IF('Loan Inputs'!$B$12,'Loan Inputs'!$B$7,0)*'Loan Inputs'!$B$14+5*'Loan Inputs'!$B$14,ISNUMBER(G386),G386&gt;0),381,"")</f>
        <v/>
      </c>
      <c r="B387" s="4" t="str">
        <f>IF(A387="","",IF('Loan Inputs'!$B$14=12,DATE(YEAR('Loan Inputs'!$B$8),MONTH('Loan Inputs'!$B$8)+A387,DAY('Loan Inputs'!$B$8)),'Loan Inputs'!$B$8+A387*IF('Loan Inputs'!$B$14=26,14,7)))</f>
        <v/>
      </c>
      <c r="C387" s="2" t="str">
        <f t="shared" si="17"/>
        <v/>
      </c>
      <c r="D387" s="2" t="str">
        <f>IF(A387="","",MIN('Loan Inputs'!$B$17,C387+E387)+H387)</f>
        <v/>
      </c>
      <c r="E387" s="2" t="str">
        <f>IF(A387="","",C387*'Loan Inputs'!$B$15)</f>
        <v/>
      </c>
      <c r="F387" s="2" t="str">
        <f t="shared" si="15"/>
        <v/>
      </c>
      <c r="G387" s="2" t="str">
        <f t="shared" si="16"/>
        <v/>
      </c>
      <c r="H387" s="2" t="str">
        <f>IF(A387="","",MIN('Loan Inputs'!$B$18,MAX(0,C387+E387-'Loan Inputs'!$B$17)))</f>
        <v/>
      </c>
    </row>
    <row r="388" spans="1:8" ht="22" customHeight="1">
      <c r="A388" s="1" t="str">
        <f>IF(AND('Loan Inputs'!$B$12,382&lt;=IF('Loan Inputs'!$B$12,'Loan Inputs'!$B$7,0)*'Loan Inputs'!$B$14+5*'Loan Inputs'!$B$14,ISNUMBER(G387),G387&gt;0),382,"")</f>
        <v/>
      </c>
      <c r="B388" s="4" t="str">
        <f>IF(A388="","",IF('Loan Inputs'!$B$14=12,DATE(YEAR('Loan Inputs'!$B$8),MONTH('Loan Inputs'!$B$8)+A388,DAY('Loan Inputs'!$B$8)),'Loan Inputs'!$B$8+A388*IF('Loan Inputs'!$B$14=26,14,7)))</f>
        <v/>
      </c>
      <c r="C388" s="2" t="str">
        <f t="shared" si="17"/>
        <v/>
      </c>
      <c r="D388" s="2" t="str">
        <f>IF(A388="","",MIN('Loan Inputs'!$B$17,C388+E388)+H388)</f>
        <v/>
      </c>
      <c r="E388" s="2" t="str">
        <f>IF(A388="","",C388*'Loan Inputs'!$B$15)</f>
        <v/>
      </c>
      <c r="F388" s="2" t="str">
        <f t="shared" si="15"/>
        <v/>
      </c>
      <c r="G388" s="2" t="str">
        <f t="shared" si="16"/>
        <v/>
      </c>
      <c r="H388" s="2" t="str">
        <f>IF(A388="","",MIN('Loan Inputs'!$B$18,MAX(0,C388+E388-'Loan Inputs'!$B$17)))</f>
        <v/>
      </c>
    </row>
    <row r="389" spans="1:8" ht="22" customHeight="1">
      <c r="A389" s="1" t="str">
        <f>IF(AND('Loan Inputs'!$B$12,383&lt;=IF('Loan Inputs'!$B$12,'Loan Inputs'!$B$7,0)*'Loan Inputs'!$B$14+5*'Loan Inputs'!$B$14,ISNUMBER(G388),G388&gt;0),383,"")</f>
        <v/>
      </c>
      <c r="B389" s="4" t="str">
        <f>IF(A389="","",IF('Loan Inputs'!$B$14=12,DATE(YEAR('Loan Inputs'!$B$8),MONTH('Loan Inputs'!$B$8)+A389,DAY('Loan Inputs'!$B$8)),'Loan Inputs'!$B$8+A389*IF('Loan Inputs'!$B$14=26,14,7)))</f>
        <v/>
      </c>
      <c r="C389" s="2" t="str">
        <f t="shared" si="17"/>
        <v/>
      </c>
      <c r="D389" s="2" t="str">
        <f>IF(A389="","",MIN('Loan Inputs'!$B$17,C389+E389)+H389)</f>
        <v/>
      </c>
      <c r="E389" s="2" t="str">
        <f>IF(A389="","",C389*'Loan Inputs'!$B$15)</f>
        <v/>
      </c>
      <c r="F389" s="2" t="str">
        <f t="shared" si="15"/>
        <v/>
      </c>
      <c r="G389" s="2" t="str">
        <f t="shared" si="16"/>
        <v/>
      </c>
      <c r="H389" s="2" t="str">
        <f>IF(A389="","",MIN('Loan Inputs'!$B$18,MAX(0,C389+E389-'Loan Inputs'!$B$17)))</f>
        <v/>
      </c>
    </row>
    <row r="390" spans="1:8" ht="22" customHeight="1">
      <c r="A390" s="1" t="str">
        <f>IF(AND('Loan Inputs'!$B$12,384&lt;=IF('Loan Inputs'!$B$12,'Loan Inputs'!$B$7,0)*'Loan Inputs'!$B$14+5*'Loan Inputs'!$B$14,ISNUMBER(G389),G389&gt;0),384,"")</f>
        <v/>
      </c>
      <c r="B390" s="4" t="str">
        <f>IF(A390="","",IF('Loan Inputs'!$B$14=12,DATE(YEAR('Loan Inputs'!$B$8),MONTH('Loan Inputs'!$B$8)+A390,DAY('Loan Inputs'!$B$8)),'Loan Inputs'!$B$8+A390*IF('Loan Inputs'!$B$14=26,14,7)))</f>
        <v/>
      </c>
      <c r="C390" s="2" t="str">
        <f t="shared" si="17"/>
        <v/>
      </c>
      <c r="D390" s="2" t="str">
        <f>IF(A390="","",MIN('Loan Inputs'!$B$17,C390+E390)+H390)</f>
        <v/>
      </c>
      <c r="E390" s="2" t="str">
        <f>IF(A390="","",C390*'Loan Inputs'!$B$15)</f>
        <v/>
      </c>
      <c r="F390" s="2" t="str">
        <f t="shared" si="15"/>
        <v/>
      </c>
      <c r="G390" s="2" t="str">
        <f t="shared" si="16"/>
        <v/>
      </c>
      <c r="H390" s="2" t="str">
        <f>IF(A390="","",MIN('Loan Inputs'!$B$18,MAX(0,C390+E390-'Loan Inputs'!$B$17)))</f>
        <v/>
      </c>
    </row>
    <row r="391" spans="1:8" ht="22" customHeight="1">
      <c r="A391" s="1" t="str">
        <f>IF(AND('Loan Inputs'!$B$12,385&lt;=IF('Loan Inputs'!$B$12,'Loan Inputs'!$B$7,0)*'Loan Inputs'!$B$14+5*'Loan Inputs'!$B$14,ISNUMBER(G390),G390&gt;0),385,"")</f>
        <v/>
      </c>
      <c r="B391" s="4" t="str">
        <f>IF(A391="","",IF('Loan Inputs'!$B$14=12,DATE(YEAR('Loan Inputs'!$B$8),MONTH('Loan Inputs'!$B$8)+A391,DAY('Loan Inputs'!$B$8)),'Loan Inputs'!$B$8+A391*IF('Loan Inputs'!$B$14=26,14,7)))</f>
        <v/>
      </c>
      <c r="C391" s="2" t="str">
        <f t="shared" si="17"/>
        <v/>
      </c>
      <c r="D391" s="2" t="str">
        <f>IF(A391="","",MIN('Loan Inputs'!$B$17,C391+E391)+H391)</f>
        <v/>
      </c>
      <c r="E391" s="2" t="str">
        <f>IF(A391="","",C391*'Loan Inputs'!$B$15)</f>
        <v/>
      </c>
      <c r="F391" s="2" t="str">
        <f t="shared" ref="F391:F454" si="18">IF(A391="","",MIN(C391,D391-E391))</f>
        <v/>
      </c>
      <c r="G391" s="2" t="str">
        <f t="shared" ref="G391:G454" si="19">IF(A391="","",IF(C391-F391&lt;0.0000001,0,MAX(0,C391-F391)))</f>
        <v/>
      </c>
      <c r="H391" s="2" t="str">
        <f>IF(A391="","",MIN('Loan Inputs'!$B$18,MAX(0,C391+E391-'Loan Inputs'!$B$17)))</f>
        <v/>
      </c>
    </row>
    <row r="392" spans="1:8" ht="22" customHeight="1">
      <c r="A392" s="1" t="str">
        <f>IF(AND('Loan Inputs'!$B$12,386&lt;=IF('Loan Inputs'!$B$12,'Loan Inputs'!$B$7,0)*'Loan Inputs'!$B$14+5*'Loan Inputs'!$B$14,ISNUMBER(G391),G391&gt;0),386,"")</f>
        <v/>
      </c>
      <c r="B392" s="4" t="str">
        <f>IF(A392="","",IF('Loan Inputs'!$B$14=12,DATE(YEAR('Loan Inputs'!$B$8),MONTH('Loan Inputs'!$B$8)+A392,DAY('Loan Inputs'!$B$8)),'Loan Inputs'!$B$8+A392*IF('Loan Inputs'!$B$14=26,14,7)))</f>
        <v/>
      </c>
      <c r="C392" s="2" t="str">
        <f t="shared" ref="C392:C455" si="20">IF(A392="","",G391)</f>
        <v/>
      </c>
      <c r="D392" s="2" t="str">
        <f>IF(A392="","",MIN('Loan Inputs'!$B$17,C392+E392)+H392)</f>
        <v/>
      </c>
      <c r="E392" s="2" t="str">
        <f>IF(A392="","",C392*'Loan Inputs'!$B$15)</f>
        <v/>
      </c>
      <c r="F392" s="2" t="str">
        <f t="shared" si="18"/>
        <v/>
      </c>
      <c r="G392" s="2" t="str">
        <f t="shared" si="19"/>
        <v/>
      </c>
      <c r="H392" s="2" t="str">
        <f>IF(A392="","",MIN('Loan Inputs'!$B$18,MAX(0,C392+E392-'Loan Inputs'!$B$17)))</f>
        <v/>
      </c>
    </row>
    <row r="393" spans="1:8" ht="22" customHeight="1">
      <c r="A393" s="1" t="str">
        <f>IF(AND('Loan Inputs'!$B$12,387&lt;=IF('Loan Inputs'!$B$12,'Loan Inputs'!$B$7,0)*'Loan Inputs'!$B$14+5*'Loan Inputs'!$B$14,ISNUMBER(G392),G392&gt;0),387,"")</f>
        <v/>
      </c>
      <c r="B393" s="4" t="str">
        <f>IF(A393="","",IF('Loan Inputs'!$B$14=12,DATE(YEAR('Loan Inputs'!$B$8),MONTH('Loan Inputs'!$B$8)+A393,DAY('Loan Inputs'!$B$8)),'Loan Inputs'!$B$8+A393*IF('Loan Inputs'!$B$14=26,14,7)))</f>
        <v/>
      </c>
      <c r="C393" s="2" t="str">
        <f t="shared" si="20"/>
        <v/>
      </c>
      <c r="D393" s="2" t="str">
        <f>IF(A393="","",MIN('Loan Inputs'!$B$17,C393+E393)+H393)</f>
        <v/>
      </c>
      <c r="E393" s="2" t="str">
        <f>IF(A393="","",C393*'Loan Inputs'!$B$15)</f>
        <v/>
      </c>
      <c r="F393" s="2" t="str">
        <f t="shared" si="18"/>
        <v/>
      </c>
      <c r="G393" s="2" t="str">
        <f t="shared" si="19"/>
        <v/>
      </c>
      <c r="H393" s="2" t="str">
        <f>IF(A393="","",MIN('Loan Inputs'!$B$18,MAX(0,C393+E393-'Loan Inputs'!$B$17)))</f>
        <v/>
      </c>
    </row>
    <row r="394" spans="1:8" ht="22" customHeight="1">
      <c r="A394" s="1" t="str">
        <f>IF(AND('Loan Inputs'!$B$12,388&lt;=IF('Loan Inputs'!$B$12,'Loan Inputs'!$B$7,0)*'Loan Inputs'!$B$14+5*'Loan Inputs'!$B$14,ISNUMBER(G393),G393&gt;0),388,"")</f>
        <v/>
      </c>
      <c r="B394" s="4" t="str">
        <f>IF(A394="","",IF('Loan Inputs'!$B$14=12,DATE(YEAR('Loan Inputs'!$B$8),MONTH('Loan Inputs'!$B$8)+A394,DAY('Loan Inputs'!$B$8)),'Loan Inputs'!$B$8+A394*IF('Loan Inputs'!$B$14=26,14,7)))</f>
        <v/>
      </c>
      <c r="C394" s="2" t="str">
        <f t="shared" si="20"/>
        <v/>
      </c>
      <c r="D394" s="2" t="str">
        <f>IF(A394="","",MIN('Loan Inputs'!$B$17,C394+E394)+H394)</f>
        <v/>
      </c>
      <c r="E394" s="2" t="str">
        <f>IF(A394="","",C394*'Loan Inputs'!$B$15)</f>
        <v/>
      </c>
      <c r="F394" s="2" t="str">
        <f t="shared" si="18"/>
        <v/>
      </c>
      <c r="G394" s="2" t="str">
        <f t="shared" si="19"/>
        <v/>
      </c>
      <c r="H394" s="2" t="str">
        <f>IF(A394="","",MIN('Loan Inputs'!$B$18,MAX(0,C394+E394-'Loan Inputs'!$B$17)))</f>
        <v/>
      </c>
    </row>
    <row r="395" spans="1:8" ht="22" customHeight="1">
      <c r="A395" s="1" t="str">
        <f>IF(AND('Loan Inputs'!$B$12,389&lt;=IF('Loan Inputs'!$B$12,'Loan Inputs'!$B$7,0)*'Loan Inputs'!$B$14+5*'Loan Inputs'!$B$14,ISNUMBER(G394),G394&gt;0),389,"")</f>
        <v/>
      </c>
      <c r="B395" s="4" t="str">
        <f>IF(A395="","",IF('Loan Inputs'!$B$14=12,DATE(YEAR('Loan Inputs'!$B$8),MONTH('Loan Inputs'!$B$8)+A395,DAY('Loan Inputs'!$B$8)),'Loan Inputs'!$B$8+A395*IF('Loan Inputs'!$B$14=26,14,7)))</f>
        <v/>
      </c>
      <c r="C395" s="2" t="str">
        <f t="shared" si="20"/>
        <v/>
      </c>
      <c r="D395" s="2" t="str">
        <f>IF(A395="","",MIN('Loan Inputs'!$B$17,C395+E395)+H395)</f>
        <v/>
      </c>
      <c r="E395" s="2" t="str">
        <f>IF(A395="","",C395*'Loan Inputs'!$B$15)</f>
        <v/>
      </c>
      <c r="F395" s="2" t="str">
        <f t="shared" si="18"/>
        <v/>
      </c>
      <c r="G395" s="2" t="str">
        <f t="shared" si="19"/>
        <v/>
      </c>
      <c r="H395" s="2" t="str">
        <f>IF(A395="","",MIN('Loan Inputs'!$B$18,MAX(0,C395+E395-'Loan Inputs'!$B$17)))</f>
        <v/>
      </c>
    </row>
    <row r="396" spans="1:8" ht="22" customHeight="1">
      <c r="A396" s="1" t="str">
        <f>IF(AND('Loan Inputs'!$B$12,390&lt;=IF('Loan Inputs'!$B$12,'Loan Inputs'!$B$7,0)*'Loan Inputs'!$B$14+5*'Loan Inputs'!$B$14,ISNUMBER(G395),G395&gt;0),390,"")</f>
        <v/>
      </c>
      <c r="B396" s="4" t="str">
        <f>IF(A396="","",IF('Loan Inputs'!$B$14=12,DATE(YEAR('Loan Inputs'!$B$8),MONTH('Loan Inputs'!$B$8)+A396,DAY('Loan Inputs'!$B$8)),'Loan Inputs'!$B$8+A396*IF('Loan Inputs'!$B$14=26,14,7)))</f>
        <v/>
      </c>
      <c r="C396" s="2" t="str">
        <f t="shared" si="20"/>
        <v/>
      </c>
      <c r="D396" s="2" t="str">
        <f>IF(A396="","",MIN('Loan Inputs'!$B$17,C396+E396)+H396)</f>
        <v/>
      </c>
      <c r="E396" s="2" t="str">
        <f>IF(A396="","",C396*'Loan Inputs'!$B$15)</f>
        <v/>
      </c>
      <c r="F396" s="2" t="str">
        <f t="shared" si="18"/>
        <v/>
      </c>
      <c r="G396" s="2" t="str">
        <f t="shared" si="19"/>
        <v/>
      </c>
      <c r="H396" s="2" t="str">
        <f>IF(A396="","",MIN('Loan Inputs'!$B$18,MAX(0,C396+E396-'Loan Inputs'!$B$17)))</f>
        <v/>
      </c>
    </row>
    <row r="397" spans="1:8" ht="22" customHeight="1">
      <c r="A397" s="1" t="str">
        <f>IF(AND('Loan Inputs'!$B$12,391&lt;=IF('Loan Inputs'!$B$12,'Loan Inputs'!$B$7,0)*'Loan Inputs'!$B$14+5*'Loan Inputs'!$B$14,ISNUMBER(G396),G396&gt;0),391,"")</f>
        <v/>
      </c>
      <c r="B397" s="4" t="str">
        <f>IF(A397="","",IF('Loan Inputs'!$B$14=12,DATE(YEAR('Loan Inputs'!$B$8),MONTH('Loan Inputs'!$B$8)+A397,DAY('Loan Inputs'!$B$8)),'Loan Inputs'!$B$8+A397*IF('Loan Inputs'!$B$14=26,14,7)))</f>
        <v/>
      </c>
      <c r="C397" s="2" t="str">
        <f t="shared" si="20"/>
        <v/>
      </c>
      <c r="D397" s="2" t="str">
        <f>IF(A397="","",MIN('Loan Inputs'!$B$17,C397+E397)+H397)</f>
        <v/>
      </c>
      <c r="E397" s="2" t="str">
        <f>IF(A397="","",C397*'Loan Inputs'!$B$15)</f>
        <v/>
      </c>
      <c r="F397" s="2" t="str">
        <f t="shared" si="18"/>
        <v/>
      </c>
      <c r="G397" s="2" t="str">
        <f t="shared" si="19"/>
        <v/>
      </c>
      <c r="H397" s="2" t="str">
        <f>IF(A397="","",MIN('Loan Inputs'!$B$18,MAX(0,C397+E397-'Loan Inputs'!$B$17)))</f>
        <v/>
      </c>
    </row>
    <row r="398" spans="1:8" ht="22" customHeight="1">
      <c r="A398" s="1" t="str">
        <f>IF(AND('Loan Inputs'!$B$12,392&lt;=IF('Loan Inputs'!$B$12,'Loan Inputs'!$B$7,0)*'Loan Inputs'!$B$14+5*'Loan Inputs'!$B$14,ISNUMBER(G397),G397&gt;0),392,"")</f>
        <v/>
      </c>
      <c r="B398" s="4" t="str">
        <f>IF(A398="","",IF('Loan Inputs'!$B$14=12,DATE(YEAR('Loan Inputs'!$B$8),MONTH('Loan Inputs'!$B$8)+A398,DAY('Loan Inputs'!$B$8)),'Loan Inputs'!$B$8+A398*IF('Loan Inputs'!$B$14=26,14,7)))</f>
        <v/>
      </c>
      <c r="C398" s="2" t="str">
        <f t="shared" si="20"/>
        <v/>
      </c>
      <c r="D398" s="2" t="str">
        <f>IF(A398="","",MIN('Loan Inputs'!$B$17,C398+E398)+H398)</f>
        <v/>
      </c>
      <c r="E398" s="2" t="str">
        <f>IF(A398="","",C398*'Loan Inputs'!$B$15)</f>
        <v/>
      </c>
      <c r="F398" s="2" t="str">
        <f t="shared" si="18"/>
        <v/>
      </c>
      <c r="G398" s="2" t="str">
        <f t="shared" si="19"/>
        <v/>
      </c>
      <c r="H398" s="2" t="str">
        <f>IF(A398="","",MIN('Loan Inputs'!$B$18,MAX(0,C398+E398-'Loan Inputs'!$B$17)))</f>
        <v/>
      </c>
    </row>
    <row r="399" spans="1:8" ht="22" customHeight="1">
      <c r="A399" s="1" t="str">
        <f>IF(AND('Loan Inputs'!$B$12,393&lt;=IF('Loan Inputs'!$B$12,'Loan Inputs'!$B$7,0)*'Loan Inputs'!$B$14+5*'Loan Inputs'!$B$14,ISNUMBER(G398),G398&gt;0),393,"")</f>
        <v/>
      </c>
      <c r="B399" s="4" t="str">
        <f>IF(A399="","",IF('Loan Inputs'!$B$14=12,DATE(YEAR('Loan Inputs'!$B$8),MONTH('Loan Inputs'!$B$8)+A399,DAY('Loan Inputs'!$B$8)),'Loan Inputs'!$B$8+A399*IF('Loan Inputs'!$B$14=26,14,7)))</f>
        <v/>
      </c>
      <c r="C399" s="2" t="str">
        <f t="shared" si="20"/>
        <v/>
      </c>
      <c r="D399" s="2" t="str">
        <f>IF(A399="","",MIN('Loan Inputs'!$B$17,C399+E399)+H399)</f>
        <v/>
      </c>
      <c r="E399" s="2" t="str">
        <f>IF(A399="","",C399*'Loan Inputs'!$B$15)</f>
        <v/>
      </c>
      <c r="F399" s="2" t="str">
        <f t="shared" si="18"/>
        <v/>
      </c>
      <c r="G399" s="2" t="str">
        <f t="shared" si="19"/>
        <v/>
      </c>
      <c r="H399" s="2" t="str">
        <f>IF(A399="","",MIN('Loan Inputs'!$B$18,MAX(0,C399+E399-'Loan Inputs'!$B$17)))</f>
        <v/>
      </c>
    </row>
    <row r="400" spans="1:8" ht="22" customHeight="1">
      <c r="A400" s="1" t="str">
        <f>IF(AND('Loan Inputs'!$B$12,394&lt;=IF('Loan Inputs'!$B$12,'Loan Inputs'!$B$7,0)*'Loan Inputs'!$B$14+5*'Loan Inputs'!$B$14,ISNUMBER(G399),G399&gt;0),394,"")</f>
        <v/>
      </c>
      <c r="B400" s="4" t="str">
        <f>IF(A400="","",IF('Loan Inputs'!$B$14=12,DATE(YEAR('Loan Inputs'!$B$8),MONTH('Loan Inputs'!$B$8)+A400,DAY('Loan Inputs'!$B$8)),'Loan Inputs'!$B$8+A400*IF('Loan Inputs'!$B$14=26,14,7)))</f>
        <v/>
      </c>
      <c r="C400" s="2" t="str">
        <f t="shared" si="20"/>
        <v/>
      </c>
      <c r="D400" s="2" t="str">
        <f>IF(A400="","",MIN('Loan Inputs'!$B$17,C400+E400)+H400)</f>
        <v/>
      </c>
      <c r="E400" s="2" t="str">
        <f>IF(A400="","",C400*'Loan Inputs'!$B$15)</f>
        <v/>
      </c>
      <c r="F400" s="2" t="str">
        <f t="shared" si="18"/>
        <v/>
      </c>
      <c r="G400" s="2" t="str">
        <f t="shared" si="19"/>
        <v/>
      </c>
      <c r="H400" s="2" t="str">
        <f>IF(A400="","",MIN('Loan Inputs'!$B$18,MAX(0,C400+E400-'Loan Inputs'!$B$17)))</f>
        <v/>
      </c>
    </row>
    <row r="401" spans="1:8" ht="22" customHeight="1">
      <c r="A401" s="1" t="str">
        <f>IF(AND('Loan Inputs'!$B$12,395&lt;=IF('Loan Inputs'!$B$12,'Loan Inputs'!$B$7,0)*'Loan Inputs'!$B$14+5*'Loan Inputs'!$B$14,ISNUMBER(G400),G400&gt;0),395,"")</f>
        <v/>
      </c>
      <c r="B401" s="4" t="str">
        <f>IF(A401="","",IF('Loan Inputs'!$B$14=12,DATE(YEAR('Loan Inputs'!$B$8),MONTH('Loan Inputs'!$B$8)+A401,DAY('Loan Inputs'!$B$8)),'Loan Inputs'!$B$8+A401*IF('Loan Inputs'!$B$14=26,14,7)))</f>
        <v/>
      </c>
      <c r="C401" s="2" t="str">
        <f t="shared" si="20"/>
        <v/>
      </c>
      <c r="D401" s="2" t="str">
        <f>IF(A401="","",MIN('Loan Inputs'!$B$17,C401+E401)+H401)</f>
        <v/>
      </c>
      <c r="E401" s="2" t="str">
        <f>IF(A401="","",C401*'Loan Inputs'!$B$15)</f>
        <v/>
      </c>
      <c r="F401" s="2" t="str">
        <f t="shared" si="18"/>
        <v/>
      </c>
      <c r="G401" s="2" t="str">
        <f t="shared" si="19"/>
        <v/>
      </c>
      <c r="H401" s="2" t="str">
        <f>IF(A401="","",MIN('Loan Inputs'!$B$18,MAX(0,C401+E401-'Loan Inputs'!$B$17)))</f>
        <v/>
      </c>
    </row>
    <row r="402" spans="1:8" ht="22" customHeight="1">
      <c r="A402" s="1" t="str">
        <f>IF(AND('Loan Inputs'!$B$12,396&lt;=IF('Loan Inputs'!$B$12,'Loan Inputs'!$B$7,0)*'Loan Inputs'!$B$14+5*'Loan Inputs'!$B$14,ISNUMBER(G401),G401&gt;0),396,"")</f>
        <v/>
      </c>
      <c r="B402" s="4" t="str">
        <f>IF(A402="","",IF('Loan Inputs'!$B$14=12,DATE(YEAR('Loan Inputs'!$B$8),MONTH('Loan Inputs'!$B$8)+A402,DAY('Loan Inputs'!$B$8)),'Loan Inputs'!$B$8+A402*IF('Loan Inputs'!$B$14=26,14,7)))</f>
        <v/>
      </c>
      <c r="C402" s="2" t="str">
        <f t="shared" si="20"/>
        <v/>
      </c>
      <c r="D402" s="2" t="str">
        <f>IF(A402="","",MIN('Loan Inputs'!$B$17,C402+E402)+H402)</f>
        <v/>
      </c>
      <c r="E402" s="2" t="str">
        <f>IF(A402="","",C402*'Loan Inputs'!$B$15)</f>
        <v/>
      </c>
      <c r="F402" s="2" t="str">
        <f t="shared" si="18"/>
        <v/>
      </c>
      <c r="G402" s="2" t="str">
        <f t="shared" si="19"/>
        <v/>
      </c>
      <c r="H402" s="2" t="str">
        <f>IF(A402="","",MIN('Loan Inputs'!$B$18,MAX(0,C402+E402-'Loan Inputs'!$B$17)))</f>
        <v/>
      </c>
    </row>
    <row r="403" spans="1:8" ht="22" customHeight="1">
      <c r="A403" s="1" t="str">
        <f>IF(AND('Loan Inputs'!$B$12,397&lt;=IF('Loan Inputs'!$B$12,'Loan Inputs'!$B$7,0)*'Loan Inputs'!$B$14+5*'Loan Inputs'!$B$14,ISNUMBER(G402),G402&gt;0),397,"")</f>
        <v/>
      </c>
      <c r="B403" s="4" t="str">
        <f>IF(A403="","",IF('Loan Inputs'!$B$14=12,DATE(YEAR('Loan Inputs'!$B$8),MONTH('Loan Inputs'!$B$8)+A403,DAY('Loan Inputs'!$B$8)),'Loan Inputs'!$B$8+A403*IF('Loan Inputs'!$B$14=26,14,7)))</f>
        <v/>
      </c>
      <c r="C403" s="2" t="str">
        <f t="shared" si="20"/>
        <v/>
      </c>
      <c r="D403" s="2" t="str">
        <f>IF(A403="","",MIN('Loan Inputs'!$B$17,C403+E403)+H403)</f>
        <v/>
      </c>
      <c r="E403" s="2" t="str">
        <f>IF(A403="","",C403*'Loan Inputs'!$B$15)</f>
        <v/>
      </c>
      <c r="F403" s="2" t="str">
        <f t="shared" si="18"/>
        <v/>
      </c>
      <c r="G403" s="2" t="str">
        <f t="shared" si="19"/>
        <v/>
      </c>
      <c r="H403" s="2" t="str">
        <f>IF(A403="","",MIN('Loan Inputs'!$B$18,MAX(0,C403+E403-'Loan Inputs'!$B$17)))</f>
        <v/>
      </c>
    </row>
    <row r="404" spans="1:8" ht="22" customHeight="1">
      <c r="A404" s="1" t="str">
        <f>IF(AND('Loan Inputs'!$B$12,398&lt;=IF('Loan Inputs'!$B$12,'Loan Inputs'!$B$7,0)*'Loan Inputs'!$B$14+5*'Loan Inputs'!$B$14,ISNUMBER(G403),G403&gt;0),398,"")</f>
        <v/>
      </c>
      <c r="B404" s="4" t="str">
        <f>IF(A404="","",IF('Loan Inputs'!$B$14=12,DATE(YEAR('Loan Inputs'!$B$8),MONTH('Loan Inputs'!$B$8)+A404,DAY('Loan Inputs'!$B$8)),'Loan Inputs'!$B$8+A404*IF('Loan Inputs'!$B$14=26,14,7)))</f>
        <v/>
      </c>
      <c r="C404" s="2" t="str">
        <f t="shared" si="20"/>
        <v/>
      </c>
      <c r="D404" s="2" t="str">
        <f>IF(A404="","",MIN('Loan Inputs'!$B$17,C404+E404)+H404)</f>
        <v/>
      </c>
      <c r="E404" s="2" t="str">
        <f>IF(A404="","",C404*'Loan Inputs'!$B$15)</f>
        <v/>
      </c>
      <c r="F404" s="2" t="str">
        <f t="shared" si="18"/>
        <v/>
      </c>
      <c r="G404" s="2" t="str">
        <f t="shared" si="19"/>
        <v/>
      </c>
      <c r="H404" s="2" t="str">
        <f>IF(A404="","",MIN('Loan Inputs'!$B$18,MAX(0,C404+E404-'Loan Inputs'!$B$17)))</f>
        <v/>
      </c>
    </row>
    <row r="405" spans="1:8" ht="22" customHeight="1">
      <c r="A405" s="1" t="str">
        <f>IF(AND('Loan Inputs'!$B$12,399&lt;=IF('Loan Inputs'!$B$12,'Loan Inputs'!$B$7,0)*'Loan Inputs'!$B$14+5*'Loan Inputs'!$B$14,ISNUMBER(G404),G404&gt;0),399,"")</f>
        <v/>
      </c>
      <c r="B405" s="4" t="str">
        <f>IF(A405="","",IF('Loan Inputs'!$B$14=12,DATE(YEAR('Loan Inputs'!$B$8),MONTH('Loan Inputs'!$B$8)+A405,DAY('Loan Inputs'!$B$8)),'Loan Inputs'!$B$8+A405*IF('Loan Inputs'!$B$14=26,14,7)))</f>
        <v/>
      </c>
      <c r="C405" s="2" t="str">
        <f t="shared" si="20"/>
        <v/>
      </c>
      <c r="D405" s="2" t="str">
        <f>IF(A405="","",MIN('Loan Inputs'!$B$17,C405+E405)+H405)</f>
        <v/>
      </c>
      <c r="E405" s="2" t="str">
        <f>IF(A405="","",C405*'Loan Inputs'!$B$15)</f>
        <v/>
      </c>
      <c r="F405" s="2" t="str">
        <f t="shared" si="18"/>
        <v/>
      </c>
      <c r="G405" s="2" t="str">
        <f t="shared" si="19"/>
        <v/>
      </c>
      <c r="H405" s="2" t="str">
        <f>IF(A405="","",MIN('Loan Inputs'!$B$18,MAX(0,C405+E405-'Loan Inputs'!$B$17)))</f>
        <v/>
      </c>
    </row>
    <row r="406" spans="1:8" ht="22" customHeight="1">
      <c r="A406" s="1" t="str">
        <f>IF(AND('Loan Inputs'!$B$12,400&lt;=IF('Loan Inputs'!$B$12,'Loan Inputs'!$B$7,0)*'Loan Inputs'!$B$14+5*'Loan Inputs'!$B$14,ISNUMBER(G405),G405&gt;0),400,"")</f>
        <v/>
      </c>
      <c r="B406" s="4" t="str">
        <f>IF(A406="","",IF('Loan Inputs'!$B$14=12,DATE(YEAR('Loan Inputs'!$B$8),MONTH('Loan Inputs'!$B$8)+A406,DAY('Loan Inputs'!$B$8)),'Loan Inputs'!$B$8+A406*IF('Loan Inputs'!$B$14=26,14,7)))</f>
        <v/>
      </c>
      <c r="C406" s="2" t="str">
        <f t="shared" si="20"/>
        <v/>
      </c>
      <c r="D406" s="2" t="str">
        <f>IF(A406="","",MIN('Loan Inputs'!$B$17,C406+E406)+H406)</f>
        <v/>
      </c>
      <c r="E406" s="2" t="str">
        <f>IF(A406="","",C406*'Loan Inputs'!$B$15)</f>
        <v/>
      </c>
      <c r="F406" s="2" t="str">
        <f t="shared" si="18"/>
        <v/>
      </c>
      <c r="G406" s="2" t="str">
        <f t="shared" si="19"/>
        <v/>
      </c>
      <c r="H406" s="2" t="str">
        <f>IF(A406="","",MIN('Loan Inputs'!$B$18,MAX(0,C406+E406-'Loan Inputs'!$B$17)))</f>
        <v/>
      </c>
    </row>
    <row r="407" spans="1:8" ht="22" customHeight="1">
      <c r="A407" s="1" t="str">
        <f>IF(AND('Loan Inputs'!$B$12,401&lt;=IF('Loan Inputs'!$B$12,'Loan Inputs'!$B$7,0)*'Loan Inputs'!$B$14+5*'Loan Inputs'!$B$14,ISNUMBER(G406),G406&gt;0),401,"")</f>
        <v/>
      </c>
      <c r="B407" s="4" t="str">
        <f>IF(A407="","",IF('Loan Inputs'!$B$14=12,DATE(YEAR('Loan Inputs'!$B$8),MONTH('Loan Inputs'!$B$8)+A407,DAY('Loan Inputs'!$B$8)),'Loan Inputs'!$B$8+A407*IF('Loan Inputs'!$B$14=26,14,7)))</f>
        <v/>
      </c>
      <c r="C407" s="2" t="str">
        <f t="shared" si="20"/>
        <v/>
      </c>
      <c r="D407" s="2" t="str">
        <f>IF(A407="","",MIN('Loan Inputs'!$B$17,C407+E407)+H407)</f>
        <v/>
      </c>
      <c r="E407" s="2" t="str">
        <f>IF(A407="","",C407*'Loan Inputs'!$B$15)</f>
        <v/>
      </c>
      <c r="F407" s="2" t="str">
        <f t="shared" si="18"/>
        <v/>
      </c>
      <c r="G407" s="2" t="str">
        <f t="shared" si="19"/>
        <v/>
      </c>
      <c r="H407" s="2" t="str">
        <f>IF(A407="","",MIN('Loan Inputs'!$B$18,MAX(0,C407+E407-'Loan Inputs'!$B$17)))</f>
        <v/>
      </c>
    </row>
    <row r="408" spans="1:8" ht="22" customHeight="1">
      <c r="A408" s="1" t="str">
        <f>IF(AND('Loan Inputs'!$B$12,402&lt;=IF('Loan Inputs'!$B$12,'Loan Inputs'!$B$7,0)*'Loan Inputs'!$B$14+5*'Loan Inputs'!$B$14,ISNUMBER(G407),G407&gt;0),402,"")</f>
        <v/>
      </c>
      <c r="B408" s="4" t="str">
        <f>IF(A408="","",IF('Loan Inputs'!$B$14=12,DATE(YEAR('Loan Inputs'!$B$8),MONTH('Loan Inputs'!$B$8)+A408,DAY('Loan Inputs'!$B$8)),'Loan Inputs'!$B$8+A408*IF('Loan Inputs'!$B$14=26,14,7)))</f>
        <v/>
      </c>
      <c r="C408" s="2" t="str">
        <f t="shared" si="20"/>
        <v/>
      </c>
      <c r="D408" s="2" t="str">
        <f>IF(A408="","",MIN('Loan Inputs'!$B$17,C408+E408)+H408)</f>
        <v/>
      </c>
      <c r="E408" s="2" t="str">
        <f>IF(A408="","",C408*'Loan Inputs'!$B$15)</f>
        <v/>
      </c>
      <c r="F408" s="2" t="str">
        <f t="shared" si="18"/>
        <v/>
      </c>
      <c r="G408" s="2" t="str">
        <f t="shared" si="19"/>
        <v/>
      </c>
      <c r="H408" s="2" t="str">
        <f>IF(A408="","",MIN('Loan Inputs'!$B$18,MAX(0,C408+E408-'Loan Inputs'!$B$17)))</f>
        <v/>
      </c>
    </row>
    <row r="409" spans="1:8" ht="22" customHeight="1">
      <c r="A409" s="1" t="str">
        <f>IF(AND('Loan Inputs'!$B$12,403&lt;=IF('Loan Inputs'!$B$12,'Loan Inputs'!$B$7,0)*'Loan Inputs'!$B$14+5*'Loan Inputs'!$B$14,ISNUMBER(G408),G408&gt;0),403,"")</f>
        <v/>
      </c>
      <c r="B409" s="4" t="str">
        <f>IF(A409="","",IF('Loan Inputs'!$B$14=12,DATE(YEAR('Loan Inputs'!$B$8),MONTH('Loan Inputs'!$B$8)+A409,DAY('Loan Inputs'!$B$8)),'Loan Inputs'!$B$8+A409*IF('Loan Inputs'!$B$14=26,14,7)))</f>
        <v/>
      </c>
      <c r="C409" s="2" t="str">
        <f t="shared" si="20"/>
        <v/>
      </c>
      <c r="D409" s="2" t="str">
        <f>IF(A409="","",MIN('Loan Inputs'!$B$17,C409+E409)+H409)</f>
        <v/>
      </c>
      <c r="E409" s="2" t="str">
        <f>IF(A409="","",C409*'Loan Inputs'!$B$15)</f>
        <v/>
      </c>
      <c r="F409" s="2" t="str">
        <f t="shared" si="18"/>
        <v/>
      </c>
      <c r="G409" s="2" t="str">
        <f t="shared" si="19"/>
        <v/>
      </c>
      <c r="H409" s="2" t="str">
        <f>IF(A409="","",MIN('Loan Inputs'!$B$18,MAX(0,C409+E409-'Loan Inputs'!$B$17)))</f>
        <v/>
      </c>
    </row>
    <row r="410" spans="1:8" ht="22" customHeight="1">
      <c r="A410" s="1" t="str">
        <f>IF(AND('Loan Inputs'!$B$12,404&lt;=IF('Loan Inputs'!$B$12,'Loan Inputs'!$B$7,0)*'Loan Inputs'!$B$14+5*'Loan Inputs'!$B$14,ISNUMBER(G409),G409&gt;0),404,"")</f>
        <v/>
      </c>
      <c r="B410" s="4" t="str">
        <f>IF(A410="","",IF('Loan Inputs'!$B$14=12,DATE(YEAR('Loan Inputs'!$B$8),MONTH('Loan Inputs'!$B$8)+A410,DAY('Loan Inputs'!$B$8)),'Loan Inputs'!$B$8+A410*IF('Loan Inputs'!$B$14=26,14,7)))</f>
        <v/>
      </c>
      <c r="C410" s="2" t="str">
        <f t="shared" si="20"/>
        <v/>
      </c>
      <c r="D410" s="2" t="str">
        <f>IF(A410="","",MIN('Loan Inputs'!$B$17,C410+E410)+H410)</f>
        <v/>
      </c>
      <c r="E410" s="2" t="str">
        <f>IF(A410="","",C410*'Loan Inputs'!$B$15)</f>
        <v/>
      </c>
      <c r="F410" s="2" t="str">
        <f t="shared" si="18"/>
        <v/>
      </c>
      <c r="G410" s="2" t="str">
        <f t="shared" si="19"/>
        <v/>
      </c>
      <c r="H410" s="2" t="str">
        <f>IF(A410="","",MIN('Loan Inputs'!$B$18,MAX(0,C410+E410-'Loan Inputs'!$B$17)))</f>
        <v/>
      </c>
    </row>
    <row r="411" spans="1:8" ht="22" customHeight="1">
      <c r="A411" s="1" t="str">
        <f>IF(AND('Loan Inputs'!$B$12,405&lt;=IF('Loan Inputs'!$B$12,'Loan Inputs'!$B$7,0)*'Loan Inputs'!$B$14+5*'Loan Inputs'!$B$14,ISNUMBER(G410),G410&gt;0),405,"")</f>
        <v/>
      </c>
      <c r="B411" s="4" t="str">
        <f>IF(A411="","",IF('Loan Inputs'!$B$14=12,DATE(YEAR('Loan Inputs'!$B$8),MONTH('Loan Inputs'!$B$8)+A411,DAY('Loan Inputs'!$B$8)),'Loan Inputs'!$B$8+A411*IF('Loan Inputs'!$B$14=26,14,7)))</f>
        <v/>
      </c>
      <c r="C411" s="2" t="str">
        <f t="shared" si="20"/>
        <v/>
      </c>
      <c r="D411" s="2" t="str">
        <f>IF(A411="","",MIN('Loan Inputs'!$B$17,C411+E411)+H411)</f>
        <v/>
      </c>
      <c r="E411" s="2" t="str">
        <f>IF(A411="","",C411*'Loan Inputs'!$B$15)</f>
        <v/>
      </c>
      <c r="F411" s="2" t="str">
        <f t="shared" si="18"/>
        <v/>
      </c>
      <c r="G411" s="2" t="str">
        <f t="shared" si="19"/>
        <v/>
      </c>
      <c r="H411" s="2" t="str">
        <f>IF(A411="","",MIN('Loan Inputs'!$B$18,MAX(0,C411+E411-'Loan Inputs'!$B$17)))</f>
        <v/>
      </c>
    </row>
    <row r="412" spans="1:8" ht="22" customHeight="1">
      <c r="A412" s="1" t="str">
        <f>IF(AND('Loan Inputs'!$B$12,406&lt;=IF('Loan Inputs'!$B$12,'Loan Inputs'!$B$7,0)*'Loan Inputs'!$B$14+5*'Loan Inputs'!$B$14,ISNUMBER(G411),G411&gt;0),406,"")</f>
        <v/>
      </c>
      <c r="B412" s="4" t="str">
        <f>IF(A412="","",IF('Loan Inputs'!$B$14=12,DATE(YEAR('Loan Inputs'!$B$8),MONTH('Loan Inputs'!$B$8)+A412,DAY('Loan Inputs'!$B$8)),'Loan Inputs'!$B$8+A412*IF('Loan Inputs'!$B$14=26,14,7)))</f>
        <v/>
      </c>
      <c r="C412" s="2" t="str">
        <f t="shared" si="20"/>
        <v/>
      </c>
      <c r="D412" s="2" t="str">
        <f>IF(A412="","",MIN('Loan Inputs'!$B$17,C412+E412)+H412)</f>
        <v/>
      </c>
      <c r="E412" s="2" t="str">
        <f>IF(A412="","",C412*'Loan Inputs'!$B$15)</f>
        <v/>
      </c>
      <c r="F412" s="2" t="str">
        <f t="shared" si="18"/>
        <v/>
      </c>
      <c r="G412" s="2" t="str">
        <f t="shared" si="19"/>
        <v/>
      </c>
      <c r="H412" s="2" t="str">
        <f>IF(A412="","",MIN('Loan Inputs'!$B$18,MAX(0,C412+E412-'Loan Inputs'!$B$17)))</f>
        <v/>
      </c>
    </row>
    <row r="413" spans="1:8" ht="22" customHeight="1">
      <c r="A413" s="1" t="str">
        <f>IF(AND('Loan Inputs'!$B$12,407&lt;=IF('Loan Inputs'!$B$12,'Loan Inputs'!$B$7,0)*'Loan Inputs'!$B$14+5*'Loan Inputs'!$B$14,ISNUMBER(G412),G412&gt;0),407,"")</f>
        <v/>
      </c>
      <c r="B413" s="4" t="str">
        <f>IF(A413="","",IF('Loan Inputs'!$B$14=12,DATE(YEAR('Loan Inputs'!$B$8),MONTH('Loan Inputs'!$B$8)+A413,DAY('Loan Inputs'!$B$8)),'Loan Inputs'!$B$8+A413*IF('Loan Inputs'!$B$14=26,14,7)))</f>
        <v/>
      </c>
      <c r="C413" s="2" t="str">
        <f t="shared" si="20"/>
        <v/>
      </c>
      <c r="D413" s="2" t="str">
        <f>IF(A413="","",MIN('Loan Inputs'!$B$17,C413+E413)+H413)</f>
        <v/>
      </c>
      <c r="E413" s="2" t="str">
        <f>IF(A413="","",C413*'Loan Inputs'!$B$15)</f>
        <v/>
      </c>
      <c r="F413" s="2" t="str">
        <f t="shared" si="18"/>
        <v/>
      </c>
      <c r="G413" s="2" t="str">
        <f t="shared" si="19"/>
        <v/>
      </c>
      <c r="H413" s="2" t="str">
        <f>IF(A413="","",MIN('Loan Inputs'!$B$18,MAX(0,C413+E413-'Loan Inputs'!$B$17)))</f>
        <v/>
      </c>
    </row>
    <row r="414" spans="1:8" ht="22" customHeight="1">
      <c r="A414" s="1" t="str">
        <f>IF(AND('Loan Inputs'!$B$12,408&lt;=IF('Loan Inputs'!$B$12,'Loan Inputs'!$B$7,0)*'Loan Inputs'!$B$14+5*'Loan Inputs'!$B$14,ISNUMBER(G413),G413&gt;0),408,"")</f>
        <v/>
      </c>
      <c r="B414" s="4" t="str">
        <f>IF(A414="","",IF('Loan Inputs'!$B$14=12,DATE(YEAR('Loan Inputs'!$B$8),MONTH('Loan Inputs'!$B$8)+A414,DAY('Loan Inputs'!$B$8)),'Loan Inputs'!$B$8+A414*IF('Loan Inputs'!$B$14=26,14,7)))</f>
        <v/>
      </c>
      <c r="C414" s="2" t="str">
        <f t="shared" si="20"/>
        <v/>
      </c>
      <c r="D414" s="2" t="str">
        <f>IF(A414="","",MIN('Loan Inputs'!$B$17,C414+E414)+H414)</f>
        <v/>
      </c>
      <c r="E414" s="2" t="str">
        <f>IF(A414="","",C414*'Loan Inputs'!$B$15)</f>
        <v/>
      </c>
      <c r="F414" s="2" t="str">
        <f t="shared" si="18"/>
        <v/>
      </c>
      <c r="G414" s="2" t="str">
        <f t="shared" si="19"/>
        <v/>
      </c>
      <c r="H414" s="2" t="str">
        <f>IF(A414="","",MIN('Loan Inputs'!$B$18,MAX(0,C414+E414-'Loan Inputs'!$B$17)))</f>
        <v/>
      </c>
    </row>
    <row r="415" spans="1:8" ht="22" customHeight="1">
      <c r="A415" s="1" t="str">
        <f>IF(AND('Loan Inputs'!$B$12,409&lt;=IF('Loan Inputs'!$B$12,'Loan Inputs'!$B$7,0)*'Loan Inputs'!$B$14+5*'Loan Inputs'!$B$14,ISNUMBER(G414),G414&gt;0),409,"")</f>
        <v/>
      </c>
      <c r="B415" s="4" t="str">
        <f>IF(A415="","",IF('Loan Inputs'!$B$14=12,DATE(YEAR('Loan Inputs'!$B$8),MONTH('Loan Inputs'!$B$8)+A415,DAY('Loan Inputs'!$B$8)),'Loan Inputs'!$B$8+A415*IF('Loan Inputs'!$B$14=26,14,7)))</f>
        <v/>
      </c>
      <c r="C415" s="2" t="str">
        <f t="shared" si="20"/>
        <v/>
      </c>
      <c r="D415" s="2" t="str">
        <f>IF(A415="","",MIN('Loan Inputs'!$B$17,C415+E415)+H415)</f>
        <v/>
      </c>
      <c r="E415" s="2" t="str">
        <f>IF(A415="","",C415*'Loan Inputs'!$B$15)</f>
        <v/>
      </c>
      <c r="F415" s="2" t="str">
        <f t="shared" si="18"/>
        <v/>
      </c>
      <c r="G415" s="2" t="str">
        <f t="shared" si="19"/>
        <v/>
      </c>
      <c r="H415" s="2" t="str">
        <f>IF(A415="","",MIN('Loan Inputs'!$B$18,MAX(0,C415+E415-'Loan Inputs'!$B$17)))</f>
        <v/>
      </c>
    </row>
    <row r="416" spans="1:8" ht="22" customHeight="1">
      <c r="A416" s="1" t="str">
        <f>IF(AND('Loan Inputs'!$B$12,410&lt;=IF('Loan Inputs'!$B$12,'Loan Inputs'!$B$7,0)*'Loan Inputs'!$B$14+5*'Loan Inputs'!$B$14,ISNUMBER(G415),G415&gt;0),410,"")</f>
        <v/>
      </c>
      <c r="B416" s="4" t="str">
        <f>IF(A416="","",IF('Loan Inputs'!$B$14=12,DATE(YEAR('Loan Inputs'!$B$8),MONTH('Loan Inputs'!$B$8)+A416,DAY('Loan Inputs'!$B$8)),'Loan Inputs'!$B$8+A416*IF('Loan Inputs'!$B$14=26,14,7)))</f>
        <v/>
      </c>
      <c r="C416" s="2" t="str">
        <f t="shared" si="20"/>
        <v/>
      </c>
      <c r="D416" s="2" t="str">
        <f>IF(A416="","",MIN('Loan Inputs'!$B$17,C416+E416)+H416)</f>
        <v/>
      </c>
      <c r="E416" s="2" t="str">
        <f>IF(A416="","",C416*'Loan Inputs'!$B$15)</f>
        <v/>
      </c>
      <c r="F416" s="2" t="str">
        <f t="shared" si="18"/>
        <v/>
      </c>
      <c r="G416" s="2" t="str">
        <f t="shared" si="19"/>
        <v/>
      </c>
      <c r="H416" s="2" t="str">
        <f>IF(A416="","",MIN('Loan Inputs'!$B$18,MAX(0,C416+E416-'Loan Inputs'!$B$17)))</f>
        <v/>
      </c>
    </row>
    <row r="417" spans="1:8" ht="22" customHeight="1">
      <c r="A417" s="1" t="str">
        <f>IF(AND('Loan Inputs'!$B$12,411&lt;=IF('Loan Inputs'!$B$12,'Loan Inputs'!$B$7,0)*'Loan Inputs'!$B$14+5*'Loan Inputs'!$B$14,ISNUMBER(G416),G416&gt;0),411,"")</f>
        <v/>
      </c>
      <c r="B417" s="4" t="str">
        <f>IF(A417="","",IF('Loan Inputs'!$B$14=12,DATE(YEAR('Loan Inputs'!$B$8),MONTH('Loan Inputs'!$B$8)+A417,DAY('Loan Inputs'!$B$8)),'Loan Inputs'!$B$8+A417*IF('Loan Inputs'!$B$14=26,14,7)))</f>
        <v/>
      </c>
      <c r="C417" s="2" t="str">
        <f t="shared" si="20"/>
        <v/>
      </c>
      <c r="D417" s="2" t="str">
        <f>IF(A417="","",MIN('Loan Inputs'!$B$17,C417+E417)+H417)</f>
        <v/>
      </c>
      <c r="E417" s="2" t="str">
        <f>IF(A417="","",C417*'Loan Inputs'!$B$15)</f>
        <v/>
      </c>
      <c r="F417" s="2" t="str">
        <f t="shared" si="18"/>
        <v/>
      </c>
      <c r="G417" s="2" t="str">
        <f t="shared" si="19"/>
        <v/>
      </c>
      <c r="H417" s="2" t="str">
        <f>IF(A417="","",MIN('Loan Inputs'!$B$18,MAX(0,C417+E417-'Loan Inputs'!$B$17)))</f>
        <v/>
      </c>
    </row>
    <row r="418" spans="1:8" ht="22" customHeight="1">
      <c r="A418" s="1" t="str">
        <f>IF(AND('Loan Inputs'!$B$12,412&lt;=IF('Loan Inputs'!$B$12,'Loan Inputs'!$B$7,0)*'Loan Inputs'!$B$14+5*'Loan Inputs'!$B$14,ISNUMBER(G417),G417&gt;0),412,"")</f>
        <v/>
      </c>
      <c r="B418" s="4" t="str">
        <f>IF(A418="","",IF('Loan Inputs'!$B$14=12,DATE(YEAR('Loan Inputs'!$B$8),MONTH('Loan Inputs'!$B$8)+A418,DAY('Loan Inputs'!$B$8)),'Loan Inputs'!$B$8+A418*IF('Loan Inputs'!$B$14=26,14,7)))</f>
        <v/>
      </c>
      <c r="C418" s="2" t="str">
        <f t="shared" si="20"/>
        <v/>
      </c>
      <c r="D418" s="2" t="str">
        <f>IF(A418="","",MIN('Loan Inputs'!$B$17,C418+E418)+H418)</f>
        <v/>
      </c>
      <c r="E418" s="2" t="str">
        <f>IF(A418="","",C418*'Loan Inputs'!$B$15)</f>
        <v/>
      </c>
      <c r="F418" s="2" t="str">
        <f t="shared" si="18"/>
        <v/>
      </c>
      <c r="G418" s="2" t="str">
        <f t="shared" si="19"/>
        <v/>
      </c>
      <c r="H418" s="2" t="str">
        <f>IF(A418="","",MIN('Loan Inputs'!$B$18,MAX(0,C418+E418-'Loan Inputs'!$B$17)))</f>
        <v/>
      </c>
    </row>
    <row r="419" spans="1:8" ht="22" customHeight="1">
      <c r="A419" s="1" t="str">
        <f>IF(AND('Loan Inputs'!$B$12,413&lt;=IF('Loan Inputs'!$B$12,'Loan Inputs'!$B$7,0)*'Loan Inputs'!$B$14+5*'Loan Inputs'!$B$14,ISNUMBER(G418),G418&gt;0),413,"")</f>
        <v/>
      </c>
      <c r="B419" s="4" t="str">
        <f>IF(A419="","",IF('Loan Inputs'!$B$14=12,DATE(YEAR('Loan Inputs'!$B$8),MONTH('Loan Inputs'!$B$8)+A419,DAY('Loan Inputs'!$B$8)),'Loan Inputs'!$B$8+A419*IF('Loan Inputs'!$B$14=26,14,7)))</f>
        <v/>
      </c>
      <c r="C419" s="2" t="str">
        <f t="shared" si="20"/>
        <v/>
      </c>
      <c r="D419" s="2" t="str">
        <f>IF(A419="","",MIN('Loan Inputs'!$B$17,C419+E419)+H419)</f>
        <v/>
      </c>
      <c r="E419" s="2" t="str">
        <f>IF(A419="","",C419*'Loan Inputs'!$B$15)</f>
        <v/>
      </c>
      <c r="F419" s="2" t="str">
        <f t="shared" si="18"/>
        <v/>
      </c>
      <c r="G419" s="2" t="str">
        <f t="shared" si="19"/>
        <v/>
      </c>
      <c r="H419" s="2" t="str">
        <f>IF(A419="","",MIN('Loan Inputs'!$B$18,MAX(0,C419+E419-'Loan Inputs'!$B$17)))</f>
        <v/>
      </c>
    </row>
    <row r="420" spans="1:8" ht="22" customHeight="1">
      <c r="A420" s="1" t="str">
        <f>IF(AND('Loan Inputs'!$B$12,414&lt;=IF('Loan Inputs'!$B$12,'Loan Inputs'!$B$7,0)*'Loan Inputs'!$B$14+5*'Loan Inputs'!$B$14,ISNUMBER(G419),G419&gt;0),414,"")</f>
        <v/>
      </c>
      <c r="B420" s="4" t="str">
        <f>IF(A420="","",IF('Loan Inputs'!$B$14=12,DATE(YEAR('Loan Inputs'!$B$8),MONTH('Loan Inputs'!$B$8)+A420,DAY('Loan Inputs'!$B$8)),'Loan Inputs'!$B$8+A420*IF('Loan Inputs'!$B$14=26,14,7)))</f>
        <v/>
      </c>
      <c r="C420" s="2" t="str">
        <f t="shared" si="20"/>
        <v/>
      </c>
      <c r="D420" s="2" t="str">
        <f>IF(A420="","",MIN('Loan Inputs'!$B$17,C420+E420)+H420)</f>
        <v/>
      </c>
      <c r="E420" s="2" t="str">
        <f>IF(A420="","",C420*'Loan Inputs'!$B$15)</f>
        <v/>
      </c>
      <c r="F420" s="2" t="str">
        <f t="shared" si="18"/>
        <v/>
      </c>
      <c r="G420" s="2" t="str">
        <f t="shared" si="19"/>
        <v/>
      </c>
      <c r="H420" s="2" t="str">
        <f>IF(A420="","",MIN('Loan Inputs'!$B$18,MAX(0,C420+E420-'Loan Inputs'!$B$17)))</f>
        <v/>
      </c>
    </row>
    <row r="421" spans="1:8" ht="22" customHeight="1">
      <c r="A421" s="1" t="str">
        <f>IF(AND('Loan Inputs'!$B$12,415&lt;=IF('Loan Inputs'!$B$12,'Loan Inputs'!$B$7,0)*'Loan Inputs'!$B$14+5*'Loan Inputs'!$B$14,ISNUMBER(G420),G420&gt;0),415,"")</f>
        <v/>
      </c>
      <c r="B421" s="4" t="str">
        <f>IF(A421="","",IF('Loan Inputs'!$B$14=12,DATE(YEAR('Loan Inputs'!$B$8),MONTH('Loan Inputs'!$B$8)+A421,DAY('Loan Inputs'!$B$8)),'Loan Inputs'!$B$8+A421*IF('Loan Inputs'!$B$14=26,14,7)))</f>
        <v/>
      </c>
      <c r="C421" s="2" t="str">
        <f t="shared" si="20"/>
        <v/>
      </c>
      <c r="D421" s="2" t="str">
        <f>IF(A421="","",MIN('Loan Inputs'!$B$17,C421+E421)+H421)</f>
        <v/>
      </c>
      <c r="E421" s="2" t="str">
        <f>IF(A421="","",C421*'Loan Inputs'!$B$15)</f>
        <v/>
      </c>
      <c r="F421" s="2" t="str">
        <f t="shared" si="18"/>
        <v/>
      </c>
      <c r="G421" s="2" t="str">
        <f t="shared" si="19"/>
        <v/>
      </c>
      <c r="H421" s="2" t="str">
        <f>IF(A421="","",MIN('Loan Inputs'!$B$18,MAX(0,C421+E421-'Loan Inputs'!$B$17)))</f>
        <v/>
      </c>
    </row>
    <row r="422" spans="1:8" ht="22" customHeight="1">
      <c r="A422" s="1" t="str">
        <f>IF(AND('Loan Inputs'!$B$12,416&lt;=IF('Loan Inputs'!$B$12,'Loan Inputs'!$B$7,0)*'Loan Inputs'!$B$14+5*'Loan Inputs'!$B$14,ISNUMBER(G421),G421&gt;0),416,"")</f>
        <v/>
      </c>
      <c r="B422" s="4" t="str">
        <f>IF(A422="","",IF('Loan Inputs'!$B$14=12,DATE(YEAR('Loan Inputs'!$B$8),MONTH('Loan Inputs'!$B$8)+A422,DAY('Loan Inputs'!$B$8)),'Loan Inputs'!$B$8+A422*IF('Loan Inputs'!$B$14=26,14,7)))</f>
        <v/>
      </c>
      <c r="C422" s="2" t="str">
        <f t="shared" si="20"/>
        <v/>
      </c>
      <c r="D422" s="2" t="str">
        <f>IF(A422="","",MIN('Loan Inputs'!$B$17,C422+E422)+H422)</f>
        <v/>
      </c>
      <c r="E422" s="2" t="str">
        <f>IF(A422="","",C422*'Loan Inputs'!$B$15)</f>
        <v/>
      </c>
      <c r="F422" s="2" t="str">
        <f t="shared" si="18"/>
        <v/>
      </c>
      <c r="G422" s="2" t="str">
        <f t="shared" si="19"/>
        <v/>
      </c>
      <c r="H422" s="2" t="str">
        <f>IF(A422="","",MIN('Loan Inputs'!$B$18,MAX(0,C422+E422-'Loan Inputs'!$B$17)))</f>
        <v/>
      </c>
    </row>
    <row r="423" spans="1:8" ht="22" customHeight="1">
      <c r="A423" s="1" t="str">
        <f>IF(AND('Loan Inputs'!$B$12,417&lt;=IF('Loan Inputs'!$B$12,'Loan Inputs'!$B$7,0)*'Loan Inputs'!$B$14+5*'Loan Inputs'!$B$14,ISNUMBER(G422),G422&gt;0),417,"")</f>
        <v/>
      </c>
      <c r="B423" s="4" t="str">
        <f>IF(A423="","",IF('Loan Inputs'!$B$14=12,DATE(YEAR('Loan Inputs'!$B$8),MONTH('Loan Inputs'!$B$8)+A423,DAY('Loan Inputs'!$B$8)),'Loan Inputs'!$B$8+A423*IF('Loan Inputs'!$B$14=26,14,7)))</f>
        <v/>
      </c>
      <c r="C423" s="2" t="str">
        <f t="shared" si="20"/>
        <v/>
      </c>
      <c r="D423" s="2" t="str">
        <f>IF(A423="","",MIN('Loan Inputs'!$B$17,C423+E423)+H423)</f>
        <v/>
      </c>
      <c r="E423" s="2" t="str">
        <f>IF(A423="","",C423*'Loan Inputs'!$B$15)</f>
        <v/>
      </c>
      <c r="F423" s="2" t="str">
        <f t="shared" si="18"/>
        <v/>
      </c>
      <c r="G423" s="2" t="str">
        <f t="shared" si="19"/>
        <v/>
      </c>
      <c r="H423" s="2" t="str">
        <f>IF(A423="","",MIN('Loan Inputs'!$B$18,MAX(0,C423+E423-'Loan Inputs'!$B$17)))</f>
        <v/>
      </c>
    </row>
    <row r="424" spans="1:8" ht="22" customHeight="1">
      <c r="A424" s="1" t="str">
        <f>IF(AND('Loan Inputs'!$B$12,418&lt;=IF('Loan Inputs'!$B$12,'Loan Inputs'!$B$7,0)*'Loan Inputs'!$B$14+5*'Loan Inputs'!$B$14,ISNUMBER(G423),G423&gt;0),418,"")</f>
        <v/>
      </c>
      <c r="B424" s="4" t="str">
        <f>IF(A424="","",IF('Loan Inputs'!$B$14=12,DATE(YEAR('Loan Inputs'!$B$8),MONTH('Loan Inputs'!$B$8)+A424,DAY('Loan Inputs'!$B$8)),'Loan Inputs'!$B$8+A424*IF('Loan Inputs'!$B$14=26,14,7)))</f>
        <v/>
      </c>
      <c r="C424" s="2" t="str">
        <f t="shared" si="20"/>
        <v/>
      </c>
      <c r="D424" s="2" t="str">
        <f>IF(A424="","",MIN('Loan Inputs'!$B$17,C424+E424)+H424)</f>
        <v/>
      </c>
      <c r="E424" s="2" t="str">
        <f>IF(A424="","",C424*'Loan Inputs'!$B$15)</f>
        <v/>
      </c>
      <c r="F424" s="2" t="str">
        <f t="shared" si="18"/>
        <v/>
      </c>
      <c r="G424" s="2" t="str">
        <f t="shared" si="19"/>
        <v/>
      </c>
      <c r="H424" s="2" t="str">
        <f>IF(A424="","",MIN('Loan Inputs'!$B$18,MAX(0,C424+E424-'Loan Inputs'!$B$17)))</f>
        <v/>
      </c>
    </row>
    <row r="425" spans="1:8" ht="22" customHeight="1">
      <c r="A425" s="1" t="str">
        <f>IF(AND('Loan Inputs'!$B$12,419&lt;=IF('Loan Inputs'!$B$12,'Loan Inputs'!$B$7,0)*'Loan Inputs'!$B$14+5*'Loan Inputs'!$B$14,ISNUMBER(G424),G424&gt;0),419,"")</f>
        <v/>
      </c>
      <c r="B425" s="4" t="str">
        <f>IF(A425="","",IF('Loan Inputs'!$B$14=12,DATE(YEAR('Loan Inputs'!$B$8),MONTH('Loan Inputs'!$B$8)+A425,DAY('Loan Inputs'!$B$8)),'Loan Inputs'!$B$8+A425*IF('Loan Inputs'!$B$14=26,14,7)))</f>
        <v/>
      </c>
      <c r="C425" s="2" t="str">
        <f t="shared" si="20"/>
        <v/>
      </c>
      <c r="D425" s="2" t="str">
        <f>IF(A425="","",MIN('Loan Inputs'!$B$17,C425+E425)+H425)</f>
        <v/>
      </c>
      <c r="E425" s="2" t="str">
        <f>IF(A425="","",C425*'Loan Inputs'!$B$15)</f>
        <v/>
      </c>
      <c r="F425" s="2" t="str">
        <f t="shared" si="18"/>
        <v/>
      </c>
      <c r="G425" s="2" t="str">
        <f t="shared" si="19"/>
        <v/>
      </c>
      <c r="H425" s="2" t="str">
        <f>IF(A425="","",MIN('Loan Inputs'!$B$18,MAX(0,C425+E425-'Loan Inputs'!$B$17)))</f>
        <v/>
      </c>
    </row>
    <row r="426" spans="1:8" ht="22" customHeight="1">
      <c r="A426" s="1" t="str">
        <f>IF(AND('Loan Inputs'!$B$12,420&lt;=IF('Loan Inputs'!$B$12,'Loan Inputs'!$B$7,0)*'Loan Inputs'!$B$14+5*'Loan Inputs'!$B$14,ISNUMBER(G425),G425&gt;0),420,"")</f>
        <v/>
      </c>
      <c r="B426" s="4" t="str">
        <f>IF(A426="","",IF('Loan Inputs'!$B$14=12,DATE(YEAR('Loan Inputs'!$B$8),MONTH('Loan Inputs'!$B$8)+A426,DAY('Loan Inputs'!$B$8)),'Loan Inputs'!$B$8+A426*IF('Loan Inputs'!$B$14=26,14,7)))</f>
        <v/>
      </c>
      <c r="C426" s="2" t="str">
        <f t="shared" si="20"/>
        <v/>
      </c>
      <c r="D426" s="2" t="str">
        <f>IF(A426="","",MIN('Loan Inputs'!$B$17,C426+E426)+H426)</f>
        <v/>
      </c>
      <c r="E426" s="2" t="str">
        <f>IF(A426="","",C426*'Loan Inputs'!$B$15)</f>
        <v/>
      </c>
      <c r="F426" s="2" t="str">
        <f t="shared" si="18"/>
        <v/>
      </c>
      <c r="G426" s="2" t="str">
        <f t="shared" si="19"/>
        <v/>
      </c>
      <c r="H426" s="2" t="str">
        <f>IF(A426="","",MIN('Loan Inputs'!$B$18,MAX(0,C426+E426-'Loan Inputs'!$B$17)))</f>
        <v/>
      </c>
    </row>
    <row r="427" spans="1:8" ht="22" customHeight="1">
      <c r="A427" s="1" t="str">
        <f>IF(AND('Loan Inputs'!$B$12,421&lt;=IF('Loan Inputs'!$B$12,'Loan Inputs'!$B$7,0)*'Loan Inputs'!$B$14+5*'Loan Inputs'!$B$14,ISNUMBER(G426),G426&gt;0),421,"")</f>
        <v/>
      </c>
      <c r="B427" s="4" t="str">
        <f>IF(A427="","",IF('Loan Inputs'!$B$14=12,DATE(YEAR('Loan Inputs'!$B$8),MONTH('Loan Inputs'!$B$8)+A427,DAY('Loan Inputs'!$B$8)),'Loan Inputs'!$B$8+A427*IF('Loan Inputs'!$B$14=26,14,7)))</f>
        <v/>
      </c>
      <c r="C427" s="2" t="str">
        <f t="shared" si="20"/>
        <v/>
      </c>
      <c r="D427" s="2" t="str">
        <f>IF(A427="","",MIN('Loan Inputs'!$B$17,C427+E427)+H427)</f>
        <v/>
      </c>
      <c r="E427" s="2" t="str">
        <f>IF(A427="","",C427*'Loan Inputs'!$B$15)</f>
        <v/>
      </c>
      <c r="F427" s="2" t="str">
        <f t="shared" si="18"/>
        <v/>
      </c>
      <c r="G427" s="2" t="str">
        <f t="shared" si="19"/>
        <v/>
      </c>
      <c r="H427" s="2" t="str">
        <f>IF(A427="","",MIN('Loan Inputs'!$B$18,MAX(0,C427+E427-'Loan Inputs'!$B$17)))</f>
        <v/>
      </c>
    </row>
    <row r="428" spans="1:8" ht="22" customHeight="1">
      <c r="A428" s="1" t="str">
        <f>IF(AND('Loan Inputs'!$B$12,422&lt;=IF('Loan Inputs'!$B$12,'Loan Inputs'!$B$7,0)*'Loan Inputs'!$B$14+5*'Loan Inputs'!$B$14,ISNUMBER(G427),G427&gt;0),422,"")</f>
        <v/>
      </c>
      <c r="B428" s="4" t="str">
        <f>IF(A428="","",IF('Loan Inputs'!$B$14=12,DATE(YEAR('Loan Inputs'!$B$8),MONTH('Loan Inputs'!$B$8)+A428,DAY('Loan Inputs'!$B$8)),'Loan Inputs'!$B$8+A428*IF('Loan Inputs'!$B$14=26,14,7)))</f>
        <v/>
      </c>
      <c r="C428" s="2" t="str">
        <f t="shared" si="20"/>
        <v/>
      </c>
      <c r="D428" s="2" t="str">
        <f>IF(A428="","",MIN('Loan Inputs'!$B$17,C428+E428)+H428)</f>
        <v/>
      </c>
      <c r="E428" s="2" t="str">
        <f>IF(A428="","",C428*'Loan Inputs'!$B$15)</f>
        <v/>
      </c>
      <c r="F428" s="2" t="str">
        <f t="shared" si="18"/>
        <v/>
      </c>
      <c r="G428" s="2" t="str">
        <f t="shared" si="19"/>
        <v/>
      </c>
      <c r="H428" s="2" t="str">
        <f>IF(A428="","",MIN('Loan Inputs'!$B$18,MAX(0,C428+E428-'Loan Inputs'!$B$17)))</f>
        <v/>
      </c>
    </row>
    <row r="429" spans="1:8" ht="22" customHeight="1">
      <c r="A429" s="1" t="str">
        <f>IF(AND('Loan Inputs'!$B$12,423&lt;=IF('Loan Inputs'!$B$12,'Loan Inputs'!$B$7,0)*'Loan Inputs'!$B$14+5*'Loan Inputs'!$B$14,ISNUMBER(G428),G428&gt;0),423,"")</f>
        <v/>
      </c>
      <c r="B429" s="4" t="str">
        <f>IF(A429="","",IF('Loan Inputs'!$B$14=12,DATE(YEAR('Loan Inputs'!$B$8),MONTH('Loan Inputs'!$B$8)+A429,DAY('Loan Inputs'!$B$8)),'Loan Inputs'!$B$8+A429*IF('Loan Inputs'!$B$14=26,14,7)))</f>
        <v/>
      </c>
      <c r="C429" s="2" t="str">
        <f t="shared" si="20"/>
        <v/>
      </c>
      <c r="D429" s="2" t="str">
        <f>IF(A429="","",MIN('Loan Inputs'!$B$17,C429+E429)+H429)</f>
        <v/>
      </c>
      <c r="E429" s="2" t="str">
        <f>IF(A429="","",C429*'Loan Inputs'!$B$15)</f>
        <v/>
      </c>
      <c r="F429" s="2" t="str">
        <f t="shared" si="18"/>
        <v/>
      </c>
      <c r="G429" s="2" t="str">
        <f t="shared" si="19"/>
        <v/>
      </c>
      <c r="H429" s="2" t="str">
        <f>IF(A429="","",MIN('Loan Inputs'!$B$18,MAX(0,C429+E429-'Loan Inputs'!$B$17)))</f>
        <v/>
      </c>
    </row>
    <row r="430" spans="1:8" ht="22" customHeight="1">
      <c r="A430" s="1" t="str">
        <f>IF(AND('Loan Inputs'!$B$12,424&lt;=IF('Loan Inputs'!$B$12,'Loan Inputs'!$B$7,0)*'Loan Inputs'!$B$14+5*'Loan Inputs'!$B$14,ISNUMBER(G429),G429&gt;0),424,"")</f>
        <v/>
      </c>
      <c r="B430" s="4" t="str">
        <f>IF(A430="","",IF('Loan Inputs'!$B$14=12,DATE(YEAR('Loan Inputs'!$B$8),MONTH('Loan Inputs'!$B$8)+A430,DAY('Loan Inputs'!$B$8)),'Loan Inputs'!$B$8+A430*IF('Loan Inputs'!$B$14=26,14,7)))</f>
        <v/>
      </c>
      <c r="C430" s="2" t="str">
        <f t="shared" si="20"/>
        <v/>
      </c>
      <c r="D430" s="2" t="str">
        <f>IF(A430="","",MIN('Loan Inputs'!$B$17,C430+E430)+H430)</f>
        <v/>
      </c>
      <c r="E430" s="2" t="str">
        <f>IF(A430="","",C430*'Loan Inputs'!$B$15)</f>
        <v/>
      </c>
      <c r="F430" s="2" t="str">
        <f t="shared" si="18"/>
        <v/>
      </c>
      <c r="G430" s="2" t="str">
        <f t="shared" si="19"/>
        <v/>
      </c>
      <c r="H430" s="2" t="str">
        <f>IF(A430="","",MIN('Loan Inputs'!$B$18,MAX(0,C430+E430-'Loan Inputs'!$B$17)))</f>
        <v/>
      </c>
    </row>
    <row r="431" spans="1:8" ht="22" customHeight="1">
      <c r="A431" s="1" t="str">
        <f>IF(AND('Loan Inputs'!$B$12,425&lt;=IF('Loan Inputs'!$B$12,'Loan Inputs'!$B$7,0)*'Loan Inputs'!$B$14+5*'Loan Inputs'!$B$14,ISNUMBER(G430),G430&gt;0),425,"")</f>
        <v/>
      </c>
      <c r="B431" s="4" t="str">
        <f>IF(A431="","",IF('Loan Inputs'!$B$14=12,DATE(YEAR('Loan Inputs'!$B$8),MONTH('Loan Inputs'!$B$8)+A431,DAY('Loan Inputs'!$B$8)),'Loan Inputs'!$B$8+A431*IF('Loan Inputs'!$B$14=26,14,7)))</f>
        <v/>
      </c>
      <c r="C431" s="2" t="str">
        <f t="shared" si="20"/>
        <v/>
      </c>
      <c r="D431" s="2" t="str">
        <f>IF(A431="","",MIN('Loan Inputs'!$B$17,C431+E431)+H431)</f>
        <v/>
      </c>
      <c r="E431" s="2" t="str">
        <f>IF(A431="","",C431*'Loan Inputs'!$B$15)</f>
        <v/>
      </c>
      <c r="F431" s="2" t="str">
        <f t="shared" si="18"/>
        <v/>
      </c>
      <c r="G431" s="2" t="str">
        <f t="shared" si="19"/>
        <v/>
      </c>
      <c r="H431" s="2" t="str">
        <f>IF(A431="","",MIN('Loan Inputs'!$B$18,MAX(0,C431+E431-'Loan Inputs'!$B$17)))</f>
        <v/>
      </c>
    </row>
    <row r="432" spans="1:8" ht="22" customHeight="1">
      <c r="A432" s="1" t="str">
        <f>IF(AND('Loan Inputs'!$B$12,426&lt;=IF('Loan Inputs'!$B$12,'Loan Inputs'!$B$7,0)*'Loan Inputs'!$B$14+5*'Loan Inputs'!$B$14,ISNUMBER(G431),G431&gt;0),426,"")</f>
        <v/>
      </c>
      <c r="B432" s="4" t="str">
        <f>IF(A432="","",IF('Loan Inputs'!$B$14=12,DATE(YEAR('Loan Inputs'!$B$8),MONTH('Loan Inputs'!$B$8)+A432,DAY('Loan Inputs'!$B$8)),'Loan Inputs'!$B$8+A432*IF('Loan Inputs'!$B$14=26,14,7)))</f>
        <v/>
      </c>
      <c r="C432" s="2" t="str">
        <f t="shared" si="20"/>
        <v/>
      </c>
      <c r="D432" s="2" t="str">
        <f>IF(A432="","",MIN('Loan Inputs'!$B$17,C432+E432)+H432)</f>
        <v/>
      </c>
      <c r="E432" s="2" t="str">
        <f>IF(A432="","",C432*'Loan Inputs'!$B$15)</f>
        <v/>
      </c>
      <c r="F432" s="2" t="str">
        <f t="shared" si="18"/>
        <v/>
      </c>
      <c r="G432" s="2" t="str">
        <f t="shared" si="19"/>
        <v/>
      </c>
      <c r="H432" s="2" t="str">
        <f>IF(A432="","",MIN('Loan Inputs'!$B$18,MAX(0,C432+E432-'Loan Inputs'!$B$17)))</f>
        <v/>
      </c>
    </row>
    <row r="433" spans="1:8" ht="22" customHeight="1">
      <c r="A433" s="1" t="str">
        <f>IF(AND('Loan Inputs'!$B$12,427&lt;=IF('Loan Inputs'!$B$12,'Loan Inputs'!$B$7,0)*'Loan Inputs'!$B$14+5*'Loan Inputs'!$B$14,ISNUMBER(G432),G432&gt;0),427,"")</f>
        <v/>
      </c>
      <c r="B433" s="4" t="str">
        <f>IF(A433="","",IF('Loan Inputs'!$B$14=12,DATE(YEAR('Loan Inputs'!$B$8),MONTH('Loan Inputs'!$B$8)+A433,DAY('Loan Inputs'!$B$8)),'Loan Inputs'!$B$8+A433*IF('Loan Inputs'!$B$14=26,14,7)))</f>
        <v/>
      </c>
      <c r="C433" s="2" t="str">
        <f t="shared" si="20"/>
        <v/>
      </c>
      <c r="D433" s="2" t="str">
        <f>IF(A433="","",MIN('Loan Inputs'!$B$17,C433+E433)+H433)</f>
        <v/>
      </c>
      <c r="E433" s="2" t="str">
        <f>IF(A433="","",C433*'Loan Inputs'!$B$15)</f>
        <v/>
      </c>
      <c r="F433" s="2" t="str">
        <f t="shared" si="18"/>
        <v/>
      </c>
      <c r="G433" s="2" t="str">
        <f t="shared" si="19"/>
        <v/>
      </c>
      <c r="H433" s="2" t="str">
        <f>IF(A433="","",MIN('Loan Inputs'!$B$18,MAX(0,C433+E433-'Loan Inputs'!$B$17)))</f>
        <v/>
      </c>
    </row>
    <row r="434" spans="1:8" ht="22" customHeight="1">
      <c r="A434" s="1" t="str">
        <f>IF(AND('Loan Inputs'!$B$12,428&lt;=IF('Loan Inputs'!$B$12,'Loan Inputs'!$B$7,0)*'Loan Inputs'!$B$14+5*'Loan Inputs'!$B$14,ISNUMBER(G433),G433&gt;0),428,"")</f>
        <v/>
      </c>
      <c r="B434" s="4" t="str">
        <f>IF(A434="","",IF('Loan Inputs'!$B$14=12,DATE(YEAR('Loan Inputs'!$B$8),MONTH('Loan Inputs'!$B$8)+A434,DAY('Loan Inputs'!$B$8)),'Loan Inputs'!$B$8+A434*IF('Loan Inputs'!$B$14=26,14,7)))</f>
        <v/>
      </c>
      <c r="C434" s="2" t="str">
        <f t="shared" si="20"/>
        <v/>
      </c>
      <c r="D434" s="2" t="str">
        <f>IF(A434="","",MIN('Loan Inputs'!$B$17,C434+E434)+H434)</f>
        <v/>
      </c>
      <c r="E434" s="2" t="str">
        <f>IF(A434="","",C434*'Loan Inputs'!$B$15)</f>
        <v/>
      </c>
      <c r="F434" s="2" t="str">
        <f t="shared" si="18"/>
        <v/>
      </c>
      <c r="G434" s="2" t="str">
        <f t="shared" si="19"/>
        <v/>
      </c>
      <c r="H434" s="2" t="str">
        <f>IF(A434="","",MIN('Loan Inputs'!$B$18,MAX(0,C434+E434-'Loan Inputs'!$B$17)))</f>
        <v/>
      </c>
    </row>
    <row r="435" spans="1:8" ht="22" customHeight="1">
      <c r="A435" s="1" t="str">
        <f>IF(AND('Loan Inputs'!$B$12,429&lt;=IF('Loan Inputs'!$B$12,'Loan Inputs'!$B$7,0)*'Loan Inputs'!$B$14+5*'Loan Inputs'!$B$14,ISNUMBER(G434),G434&gt;0),429,"")</f>
        <v/>
      </c>
      <c r="B435" s="4" t="str">
        <f>IF(A435="","",IF('Loan Inputs'!$B$14=12,DATE(YEAR('Loan Inputs'!$B$8),MONTH('Loan Inputs'!$B$8)+A435,DAY('Loan Inputs'!$B$8)),'Loan Inputs'!$B$8+A435*IF('Loan Inputs'!$B$14=26,14,7)))</f>
        <v/>
      </c>
      <c r="C435" s="2" t="str">
        <f t="shared" si="20"/>
        <v/>
      </c>
      <c r="D435" s="2" t="str">
        <f>IF(A435="","",MIN('Loan Inputs'!$B$17,C435+E435)+H435)</f>
        <v/>
      </c>
      <c r="E435" s="2" t="str">
        <f>IF(A435="","",C435*'Loan Inputs'!$B$15)</f>
        <v/>
      </c>
      <c r="F435" s="2" t="str">
        <f t="shared" si="18"/>
        <v/>
      </c>
      <c r="G435" s="2" t="str">
        <f t="shared" si="19"/>
        <v/>
      </c>
      <c r="H435" s="2" t="str">
        <f>IF(A435="","",MIN('Loan Inputs'!$B$18,MAX(0,C435+E435-'Loan Inputs'!$B$17)))</f>
        <v/>
      </c>
    </row>
    <row r="436" spans="1:8" ht="22" customHeight="1">
      <c r="A436" s="1" t="str">
        <f>IF(AND('Loan Inputs'!$B$12,430&lt;=IF('Loan Inputs'!$B$12,'Loan Inputs'!$B$7,0)*'Loan Inputs'!$B$14+5*'Loan Inputs'!$B$14,ISNUMBER(G435),G435&gt;0),430,"")</f>
        <v/>
      </c>
      <c r="B436" s="4" t="str">
        <f>IF(A436="","",IF('Loan Inputs'!$B$14=12,DATE(YEAR('Loan Inputs'!$B$8),MONTH('Loan Inputs'!$B$8)+A436,DAY('Loan Inputs'!$B$8)),'Loan Inputs'!$B$8+A436*IF('Loan Inputs'!$B$14=26,14,7)))</f>
        <v/>
      </c>
      <c r="C436" s="2" t="str">
        <f t="shared" si="20"/>
        <v/>
      </c>
      <c r="D436" s="2" t="str">
        <f>IF(A436="","",MIN('Loan Inputs'!$B$17,C436+E436)+H436)</f>
        <v/>
      </c>
      <c r="E436" s="2" t="str">
        <f>IF(A436="","",C436*'Loan Inputs'!$B$15)</f>
        <v/>
      </c>
      <c r="F436" s="2" t="str">
        <f t="shared" si="18"/>
        <v/>
      </c>
      <c r="G436" s="2" t="str">
        <f t="shared" si="19"/>
        <v/>
      </c>
      <c r="H436" s="2" t="str">
        <f>IF(A436="","",MIN('Loan Inputs'!$B$18,MAX(0,C436+E436-'Loan Inputs'!$B$17)))</f>
        <v/>
      </c>
    </row>
    <row r="437" spans="1:8" ht="22" customHeight="1">
      <c r="A437" s="1" t="str">
        <f>IF(AND('Loan Inputs'!$B$12,431&lt;=IF('Loan Inputs'!$B$12,'Loan Inputs'!$B$7,0)*'Loan Inputs'!$B$14+5*'Loan Inputs'!$B$14,ISNUMBER(G436),G436&gt;0),431,"")</f>
        <v/>
      </c>
      <c r="B437" s="4" t="str">
        <f>IF(A437="","",IF('Loan Inputs'!$B$14=12,DATE(YEAR('Loan Inputs'!$B$8),MONTH('Loan Inputs'!$B$8)+A437,DAY('Loan Inputs'!$B$8)),'Loan Inputs'!$B$8+A437*IF('Loan Inputs'!$B$14=26,14,7)))</f>
        <v/>
      </c>
      <c r="C437" s="2" t="str">
        <f t="shared" si="20"/>
        <v/>
      </c>
      <c r="D437" s="2" t="str">
        <f>IF(A437="","",MIN('Loan Inputs'!$B$17,C437+E437)+H437)</f>
        <v/>
      </c>
      <c r="E437" s="2" t="str">
        <f>IF(A437="","",C437*'Loan Inputs'!$B$15)</f>
        <v/>
      </c>
      <c r="F437" s="2" t="str">
        <f t="shared" si="18"/>
        <v/>
      </c>
      <c r="G437" s="2" t="str">
        <f t="shared" si="19"/>
        <v/>
      </c>
      <c r="H437" s="2" t="str">
        <f>IF(A437="","",MIN('Loan Inputs'!$B$18,MAX(0,C437+E437-'Loan Inputs'!$B$17)))</f>
        <v/>
      </c>
    </row>
    <row r="438" spans="1:8" ht="22" customHeight="1">
      <c r="A438" s="1" t="str">
        <f>IF(AND('Loan Inputs'!$B$12,432&lt;=IF('Loan Inputs'!$B$12,'Loan Inputs'!$B$7,0)*'Loan Inputs'!$B$14+5*'Loan Inputs'!$B$14,ISNUMBER(G437),G437&gt;0),432,"")</f>
        <v/>
      </c>
      <c r="B438" s="4" t="str">
        <f>IF(A438="","",IF('Loan Inputs'!$B$14=12,DATE(YEAR('Loan Inputs'!$B$8),MONTH('Loan Inputs'!$B$8)+A438,DAY('Loan Inputs'!$B$8)),'Loan Inputs'!$B$8+A438*IF('Loan Inputs'!$B$14=26,14,7)))</f>
        <v/>
      </c>
      <c r="C438" s="2" t="str">
        <f t="shared" si="20"/>
        <v/>
      </c>
      <c r="D438" s="2" t="str">
        <f>IF(A438="","",MIN('Loan Inputs'!$B$17,C438+E438)+H438)</f>
        <v/>
      </c>
      <c r="E438" s="2" t="str">
        <f>IF(A438="","",C438*'Loan Inputs'!$B$15)</f>
        <v/>
      </c>
      <c r="F438" s="2" t="str">
        <f t="shared" si="18"/>
        <v/>
      </c>
      <c r="G438" s="2" t="str">
        <f t="shared" si="19"/>
        <v/>
      </c>
      <c r="H438" s="2" t="str">
        <f>IF(A438="","",MIN('Loan Inputs'!$B$18,MAX(0,C438+E438-'Loan Inputs'!$B$17)))</f>
        <v/>
      </c>
    </row>
    <row r="439" spans="1:8" ht="22" customHeight="1">
      <c r="A439" s="1" t="str">
        <f>IF(AND('Loan Inputs'!$B$12,433&lt;=IF('Loan Inputs'!$B$12,'Loan Inputs'!$B$7,0)*'Loan Inputs'!$B$14+5*'Loan Inputs'!$B$14,ISNUMBER(G438),G438&gt;0),433,"")</f>
        <v/>
      </c>
      <c r="B439" s="4" t="str">
        <f>IF(A439="","",IF('Loan Inputs'!$B$14=12,DATE(YEAR('Loan Inputs'!$B$8),MONTH('Loan Inputs'!$B$8)+A439,DAY('Loan Inputs'!$B$8)),'Loan Inputs'!$B$8+A439*IF('Loan Inputs'!$B$14=26,14,7)))</f>
        <v/>
      </c>
      <c r="C439" s="2" t="str">
        <f t="shared" si="20"/>
        <v/>
      </c>
      <c r="D439" s="2" t="str">
        <f>IF(A439="","",MIN('Loan Inputs'!$B$17,C439+E439)+H439)</f>
        <v/>
      </c>
      <c r="E439" s="2" t="str">
        <f>IF(A439="","",C439*'Loan Inputs'!$B$15)</f>
        <v/>
      </c>
      <c r="F439" s="2" t="str">
        <f t="shared" si="18"/>
        <v/>
      </c>
      <c r="G439" s="2" t="str">
        <f t="shared" si="19"/>
        <v/>
      </c>
      <c r="H439" s="2" t="str">
        <f>IF(A439="","",MIN('Loan Inputs'!$B$18,MAX(0,C439+E439-'Loan Inputs'!$B$17)))</f>
        <v/>
      </c>
    </row>
    <row r="440" spans="1:8" ht="22" customHeight="1">
      <c r="A440" s="1" t="str">
        <f>IF(AND('Loan Inputs'!$B$12,434&lt;=IF('Loan Inputs'!$B$12,'Loan Inputs'!$B$7,0)*'Loan Inputs'!$B$14+5*'Loan Inputs'!$B$14,ISNUMBER(G439),G439&gt;0),434,"")</f>
        <v/>
      </c>
      <c r="B440" s="4" t="str">
        <f>IF(A440="","",IF('Loan Inputs'!$B$14=12,DATE(YEAR('Loan Inputs'!$B$8),MONTH('Loan Inputs'!$B$8)+A440,DAY('Loan Inputs'!$B$8)),'Loan Inputs'!$B$8+A440*IF('Loan Inputs'!$B$14=26,14,7)))</f>
        <v/>
      </c>
      <c r="C440" s="2" t="str">
        <f t="shared" si="20"/>
        <v/>
      </c>
      <c r="D440" s="2" t="str">
        <f>IF(A440="","",MIN('Loan Inputs'!$B$17,C440+E440)+H440)</f>
        <v/>
      </c>
      <c r="E440" s="2" t="str">
        <f>IF(A440="","",C440*'Loan Inputs'!$B$15)</f>
        <v/>
      </c>
      <c r="F440" s="2" t="str">
        <f t="shared" si="18"/>
        <v/>
      </c>
      <c r="G440" s="2" t="str">
        <f t="shared" si="19"/>
        <v/>
      </c>
      <c r="H440" s="2" t="str">
        <f>IF(A440="","",MIN('Loan Inputs'!$B$18,MAX(0,C440+E440-'Loan Inputs'!$B$17)))</f>
        <v/>
      </c>
    </row>
    <row r="441" spans="1:8" ht="22" customHeight="1">
      <c r="A441" s="1" t="str">
        <f>IF(AND('Loan Inputs'!$B$12,435&lt;=IF('Loan Inputs'!$B$12,'Loan Inputs'!$B$7,0)*'Loan Inputs'!$B$14+5*'Loan Inputs'!$B$14,ISNUMBER(G440),G440&gt;0),435,"")</f>
        <v/>
      </c>
      <c r="B441" s="4" t="str">
        <f>IF(A441="","",IF('Loan Inputs'!$B$14=12,DATE(YEAR('Loan Inputs'!$B$8),MONTH('Loan Inputs'!$B$8)+A441,DAY('Loan Inputs'!$B$8)),'Loan Inputs'!$B$8+A441*IF('Loan Inputs'!$B$14=26,14,7)))</f>
        <v/>
      </c>
      <c r="C441" s="2" t="str">
        <f t="shared" si="20"/>
        <v/>
      </c>
      <c r="D441" s="2" t="str">
        <f>IF(A441="","",MIN('Loan Inputs'!$B$17,C441+E441)+H441)</f>
        <v/>
      </c>
      <c r="E441" s="2" t="str">
        <f>IF(A441="","",C441*'Loan Inputs'!$B$15)</f>
        <v/>
      </c>
      <c r="F441" s="2" t="str">
        <f t="shared" si="18"/>
        <v/>
      </c>
      <c r="G441" s="2" t="str">
        <f t="shared" si="19"/>
        <v/>
      </c>
      <c r="H441" s="2" t="str">
        <f>IF(A441="","",MIN('Loan Inputs'!$B$18,MAX(0,C441+E441-'Loan Inputs'!$B$17)))</f>
        <v/>
      </c>
    </row>
    <row r="442" spans="1:8" ht="22" customHeight="1">
      <c r="A442" s="1" t="str">
        <f>IF(AND('Loan Inputs'!$B$12,436&lt;=IF('Loan Inputs'!$B$12,'Loan Inputs'!$B$7,0)*'Loan Inputs'!$B$14+5*'Loan Inputs'!$B$14,ISNUMBER(G441),G441&gt;0),436,"")</f>
        <v/>
      </c>
      <c r="B442" s="4" t="str">
        <f>IF(A442="","",IF('Loan Inputs'!$B$14=12,DATE(YEAR('Loan Inputs'!$B$8),MONTH('Loan Inputs'!$B$8)+A442,DAY('Loan Inputs'!$B$8)),'Loan Inputs'!$B$8+A442*IF('Loan Inputs'!$B$14=26,14,7)))</f>
        <v/>
      </c>
      <c r="C442" s="2" t="str">
        <f t="shared" si="20"/>
        <v/>
      </c>
      <c r="D442" s="2" t="str">
        <f>IF(A442="","",MIN('Loan Inputs'!$B$17,C442+E442)+H442)</f>
        <v/>
      </c>
      <c r="E442" s="2" t="str">
        <f>IF(A442="","",C442*'Loan Inputs'!$B$15)</f>
        <v/>
      </c>
      <c r="F442" s="2" t="str">
        <f t="shared" si="18"/>
        <v/>
      </c>
      <c r="G442" s="2" t="str">
        <f t="shared" si="19"/>
        <v/>
      </c>
      <c r="H442" s="2" t="str">
        <f>IF(A442="","",MIN('Loan Inputs'!$B$18,MAX(0,C442+E442-'Loan Inputs'!$B$17)))</f>
        <v/>
      </c>
    </row>
    <row r="443" spans="1:8" ht="22" customHeight="1">
      <c r="A443" s="1" t="str">
        <f>IF(AND('Loan Inputs'!$B$12,437&lt;=IF('Loan Inputs'!$B$12,'Loan Inputs'!$B$7,0)*'Loan Inputs'!$B$14+5*'Loan Inputs'!$B$14,ISNUMBER(G442),G442&gt;0),437,"")</f>
        <v/>
      </c>
      <c r="B443" s="4" t="str">
        <f>IF(A443="","",IF('Loan Inputs'!$B$14=12,DATE(YEAR('Loan Inputs'!$B$8),MONTH('Loan Inputs'!$B$8)+A443,DAY('Loan Inputs'!$B$8)),'Loan Inputs'!$B$8+A443*IF('Loan Inputs'!$B$14=26,14,7)))</f>
        <v/>
      </c>
      <c r="C443" s="2" t="str">
        <f t="shared" si="20"/>
        <v/>
      </c>
      <c r="D443" s="2" t="str">
        <f>IF(A443="","",MIN('Loan Inputs'!$B$17,C443+E443)+H443)</f>
        <v/>
      </c>
      <c r="E443" s="2" t="str">
        <f>IF(A443="","",C443*'Loan Inputs'!$B$15)</f>
        <v/>
      </c>
      <c r="F443" s="2" t="str">
        <f t="shared" si="18"/>
        <v/>
      </c>
      <c r="G443" s="2" t="str">
        <f t="shared" si="19"/>
        <v/>
      </c>
      <c r="H443" s="2" t="str">
        <f>IF(A443="","",MIN('Loan Inputs'!$B$18,MAX(0,C443+E443-'Loan Inputs'!$B$17)))</f>
        <v/>
      </c>
    </row>
    <row r="444" spans="1:8" ht="22" customHeight="1">
      <c r="A444" s="1" t="str">
        <f>IF(AND('Loan Inputs'!$B$12,438&lt;=IF('Loan Inputs'!$B$12,'Loan Inputs'!$B$7,0)*'Loan Inputs'!$B$14+5*'Loan Inputs'!$B$14,ISNUMBER(G443),G443&gt;0),438,"")</f>
        <v/>
      </c>
      <c r="B444" s="4" t="str">
        <f>IF(A444="","",IF('Loan Inputs'!$B$14=12,DATE(YEAR('Loan Inputs'!$B$8),MONTH('Loan Inputs'!$B$8)+A444,DAY('Loan Inputs'!$B$8)),'Loan Inputs'!$B$8+A444*IF('Loan Inputs'!$B$14=26,14,7)))</f>
        <v/>
      </c>
      <c r="C444" s="2" t="str">
        <f t="shared" si="20"/>
        <v/>
      </c>
      <c r="D444" s="2" t="str">
        <f>IF(A444="","",MIN('Loan Inputs'!$B$17,C444+E444)+H444)</f>
        <v/>
      </c>
      <c r="E444" s="2" t="str">
        <f>IF(A444="","",C444*'Loan Inputs'!$B$15)</f>
        <v/>
      </c>
      <c r="F444" s="2" t="str">
        <f t="shared" si="18"/>
        <v/>
      </c>
      <c r="G444" s="2" t="str">
        <f t="shared" si="19"/>
        <v/>
      </c>
      <c r="H444" s="2" t="str">
        <f>IF(A444="","",MIN('Loan Inputs'!$B$18,MAX(0,C444+E444-'Loan Inputs'!$B$17)))</f>
        <v/>
      </c>
    </row>
    <row r="445" spans="1:8" ht="22" customHeight="1">
      <c r="A445" s="1" t="str">
        <f>IF(AND('Loan Inputs'!$B$12,439&lt;=IF('Loan Inputs'!$B$12,'Loan Inputs'!$B$7,0)*'Loan Inputs'!$B$14+5*'Loan Inputs'!$B$14,ISNUMBER(G444),G444&gt;0),439,"")</f>
        <v/>
      </c>
      <c r="B445" s="4" t="str">
        <f>IF(A445="","",IF('Loan Inputs'!$B$14=12,DATE(YEAR('Loan Inputs'!$B$8),MONTH('Loan Inputs'!$B$8)+A445,DAY('Loan Inputs'!$B$8)),'Loan Inputs'!$B$8+A445*IF('Loan Inputs'!$B$14=26,14,7)))</f>
        <v/>
      </c>
      <c r="C445" s="2" t="str">
        <f t="shared" si="20"/>
        <v/>
      </c>
      <c r="D445" s="2" t="str">
        <f>IF(A445="","",MIN('Loan Inputs'!$B$17,C445+E445)+H445)</f>
        <v/>
      </c>
      <c r="E445" s="2" t="str">
        <f>IF(A445="","",C445*'Loan Inputs'!$B$15)</f>
        <v/>
      </c>
      <c r="F445" s="2" t="str">
        <f t="shared" si="18"/>
        <v/>
      </c>
      <c r="G445" s="2" t="str">
        <f t="shared" si="19"/>
        <v/>
      </c>
      <c r="H445" s="2" t="str">
        <f>IF(A445="","",MIN('Loan Inputs'!$B$18,MAX(0,C445+E445-'Loan Inputs'!$B$17)))</f>
        <v/>
      </c>
    </row>
    <row r="446" spans="1:8" ht="22" customHeight="1">
      <c r="A446" s="1" t="str">
        <f>IF(AND('Loan Inputs'!$B$12,440&lt;=IF('Loan Inputs'!$B$12,'Loan Inputs'!$B$7,0)*'Loan Inputs'!$B$14+5*'Loan Inputs'!$B$14,ISNUMBER(G445),G445&gt;0),440,"")</f>
        <v/>
      </c>
      <c r="B446" s="4" t="str">
        <f>IF(A446="","",IF('Loan Inputs'!$B$14=12,DATE(YEAR('Loan Inputs'!$B$8),MONTH('Loan Inputs'!$B$8)+A446,DAY('Loan Inputs'!$B$8)),'Loan Inputs'!$B$8+A446*IF('Loan Inputs'!$B$14=26,14,7)))</f>
        <v/>
      </c>
      <c r="C446" s="2" t="str">
        <f t="shared" si="20"/>
        <v/>
      </c>
      <c r="D446" s="2" t="str">
        <f>IF(A446="","",MIN('Loan Inputs'!$B$17,C446+E446)+H446)</f>
        <v/>
      </c>
      <c r="E446" s="2" t="str">
        <f>IF(A446="","",C446*'Loan Inputs'!$B$15)</f>
        <v/>
      </c>
      <c r="F446" s="2" t="str">
        <f t="shared" si="18"/>
        <v/>
      </c>
      <c r="G446" s="2" t="str">
        <f t="shared" si="19"/>
        <v/>
      </c>
      <c r="H446" s="2" t="str">
        <f>IF(A446="","",MIN('Loan Inputs'!$B$18,MAX(0,C446+E446-'Loan Inputs'!$B$17)))</f>
        <v/>
      </c>
    </row>
    <row r="447" spans="1:8" ht="22" customHeight="1">
      <c r="A447" s="1" t="str">
        <f>IF(AND('Loan Inputs'!$B$12,441&lt;=IF('Loan Inputs'!$B$12,'Loan Inputs'!$B$7,0)*'Loan Inputs'!$B$14+5*'Loan Inputs'!$B$14,ISNUMBER(G446),G446&gt;0),441,"")</f>
        <v/>
      </c>
      <c r="B447" s="4" t="str">
        <f>IF(A447="","",IF('Loan Inputs'!$B$14=12,DATE(YEAR('Loan Inputs'!$B$8),MONTH('Loan Inputs'!$B$8)+A447,DAY('Loan Inputs'!$B$8)),'Loan Inputs'!$B$8+A447*IF('Loan Inputs'!$B$14=26,14,7)))</f>
        <v/>
      </c>
      <c r="C447" s="2" t="str">
        <f t="shared" si="20"/>
        <v/>
      </c>
      <c r="D447" s="2" t="str">
        <f>IF(A447="","",MIN('Loan Inputs'!$B$17,C447+E447)+H447)</f>
        <v/>
      </c>
      <c r="E447" s="2" t="str">
        <f>IF(A447="","",C447*'Loan Inputs'!$B$15)</f>
        <v/>
      </c>
      <c r="F447" s="2" t="str">
        <f t="shared" si="18"/>
        <v/>
      </c>
      <c r="G447" s="2" t="str">
        <f t="shared" si="19"/>
        <v/>
      </c>
      <c r="H447" s="2" t="str">
        <f>IF(A447="","",MIN('Loan Inputs'!$B$18,MAX(0,C447+E447-'Loan Inputs'!$B$17)))</f>
        <v/>
      </c>
    </row>
    <row r="448" spans="1:8" ht="22" customHeight="1">
      <c r="A448" s="1" t="str">
        <f>IF(AND('Loan Inputs'!$B$12,442&lt;=IF('Loan Inputs'!$B$12,'Loan Inputs'!$B$7,0)*'Loan Inputs'!$B$14+5*'Loan Inputs'!$B$14,ISNUMBER(G447),G447&gt;0),442,"")</f>
        <v/>
      </c>
      <c r="B448" s="4" t="str">
        <f>IF(A448="","",IF('Loan Inputs'!$B$14=12,DATE(YEAR('Loan Inputs'!$B$8),MONTH('Loan Inputs'!$B$8)+A448,DAY('Loan Inputs'!$B$8)),'Loan Inputs'!$B$8+A448*IF('Loan Inputs'!$B$14=26,14,7)))</f>
        <v/>
      </c>
      <c r="C448" s="2" t="str">
        <f t="shared" si="20"/>
        <v/>
      </c>
      <c r="D448" s="2" t="str">
        <f>IF(A448="","",MIN('Loan Inputs'!$B$17,C448+E448)+H448)</f>
        <v/>
      </c>
      <c r="E448" s="2" t="str">
        <f>IF(A448="","",C448*'Loan Inputs'!$B$15)</f>
        <v/>
      </c>
      <c r="F448" s="2" t="str">
        <f t="shared" si="18"/>
        <v/>
      </c>
      <c r="G448" s="2" t="str">
        <f t="shared" si="19"/>
        <v/>
      </c>
      <c r="H448" s="2" t="str">
        <f>IF(A448="","",MIN('Loan Inputs'!$B$18,MAX(0,C448+E448-'Loan Inputs'!$B$17)))</f>
        <v/>
      </c>
    </row>
    <row r="449" spans="1:8" ht="22" customHeight="1">
      <c r="A449" s="1" t="str">
        <f>IF(AND('Loan Inputs'!$B$12,443&lt;=IF('Loan Inputs'!$B$12,'Loan Inputs'!$B$7,0)*'Loan Inputs'!$B$14+5*'Loan Inputs'!$B$14,ISNUMBER(G448),G448&gt;0),443,"")</f>
        <v/>
      </c>
      <c r="B449" s="4" t="str">
        <f>IF(A449="","",IF('Loan Inputs'!$B$14=12,DATE(YEAR('Loan Inputs'!$B$8),MONTH('Loan Inputs'!$B$8)+A449,DAY('Loan Inputs'!$B$8)),'Loan Inputs'!$B$8+A449*IF('Loan Inputs'!$B$14=26,14,7)))</f>
        <v/>
      </c>
      <c r="C449" s="2" t="str">
        <f t="shared" si="20"/>
        <v/>
      </c>
      <c r="D449" s="2" t="str">
        <f>IF(A449="","",MIN('Loan Inputs'!$B$17,C449+E449)+H449)</f>
        <v/>
      </c>
      <c r="E449" s="2" t="str">
        <f>IF(A449="","",C449*'Loan Inputs'!$B$15)</f>
        <v/>
      </c>
      <c r="F449" s="2" t="str">
        <f t="shared" si="18"/>
        <v/>
      </c>
      <c r="G449" s="2" t="str">
        <f t="shared" si="19"/>
        <v/>
      </c>
      <c r="H449" s="2" t="str">
        <f>IF(A449="","",MIN('Loan Inputs'!$B$18,MAX(0,C449+E449-'Loan Inputs'!$B$17)))</f>
        <v/>
      </c>
    </row>
    <row r="450" spans="1:8" ht="22" customHeight="1">
      <c r="A450" s="1" t="str">
        <f>IF(AND('Loan Inputs'!$B$12,444&lt;=IF('Loan Inputs'!$B$12,'Loan Inputs'!$B$7,0)*'Loan Inputs'!$B$14+5*'Loan Inputs'!$B$14,ISNUMBER(G449),G449&gt;0),444,"")</f>
        <v/>
      </c>
      <c r="B450" s="4" t="str">
        <f>IF(A450="","",IF('Loan Inputs'!$B$14=12,DATE(YEAR('Loan Inputs'!$B$8),MONTH('Loan Inputs'!$B$8)+A450,DAY('Loan Inputs'!$B$8)),'Loan Inputs'!$B$8+A450*IF('Loan Inputs'!$B$14=26,14,7)))</f>
        <v/>
      </c>
      <c r="C450" s="2" t="str">
        <f t="shared" si="20"/>
        <v/>
      </c>
      <c r="D450" s="2" t="str">
        <f>IF(A450="","",MIN('Loan Inputs'!$B$17,C450+E450)+H450)</f>
        <v/>
      </c>
      <c r="E450" s="2" t="str">
        <f>IF(A450="","",C450*'Loan Inputs'!$B$15)</f>
        <v/>
      </c>
      <c r="F450" s="2" t="str">
        <f t="shared" si="18"/>
        <v/>
      </c>
      <c r="G450" s="2" t="str">
        <f t="shared" si="19"/>
        <v/>
      </c>
      <c r="H450" s="2" t="str">
        <f>IF(A450="","",MIN('Loan Inputs'!$B$18,MAX(0,C450+E450-'Loan Inputs'!$B$17)))</f>
        <v/>
      </c>
    </row>
    <row r="451" spans="1:8" ht="22" customHeight="1">
      <c r="A451" s="1" t="str">
        <f>IF(AND('Loan Inputs'!$B$12,445&lt;=IF('Loan Inputs'!$B$12,'Loan Inputs'!$B$7,0)*'Loan Inputs'!$B$14+5*'Loan Inputs'!$B$14,ISNUMBER(G450),G450&gt;0),445,"")</f>
        <v/>
      </c>
      <c r="B451" s="4" t="str">
        <f>IF(A451="","",IF('Loan Inputs'!$B$14=12,DATE(YEAR('Loan Inputs'!$B$8),MONTH('Loan Inputs'!$B$8)+A451,DAY('Loan Inputs'!$B$8)),'Loan Inputs'!$B$8+A451*IF('Loan Inputs'!$B$14=26,14,7)))</f>
        <v/>
      </c>
      <c r="C451" s="2" t="str">
        <f t="shared" si="20"/>
        <v/>
      </c>
      <c r="D451" s="2" t="str">
        <f>IF(A451="","",MIN('Loan Inputs'!$B$17,C451+E451)+H451)</f>
        <v/>
      </c>
      <c r="E451" s="2" t="str">
        <f>IF(A451="","",C451*'Loan Inputs'!$B$15)</f>
        <v/>
      </c>
      <c r="F451" s="2" t="str">
        <f t="shared" si="18"/>
        <v/>
      </c>
      <c r="G451" s="2" t="str">
        <f t="shared" si="19"/>
        <v/>
      </c>
      <c r="H451" s="2" t="str">
        <f>IF(A451="","",MIN('Loan Inputs'!$B$18,MAX(0,C451+E451-'Loan Inputs'!$B$17)))</f>
        <v/>
      </c>
    </row>
    <row r="452" spans="1:8" ht="22" customHeight="1">
      <c r="A452" s="1" t="str">
        <f>IF(AND('Loan Inputs'!$B$12,446&lt;=IF('Loan Inputs'!$B$12,'Loan Inputs'!$B$7,0)*'Loan Inputs'!$B$14+5*'Loan Inputs'!$B$14,ISNUMBER(G451),G451&gt;0),446,"")</f>
        <v/>
      </c>
      <c r="B452" s="4" t="str">
        <f>IF(A452="","",IF('Loan Inputs'!$B$14=12,DATE(YEAR('Loan Inputs'!$B$8),MONTH('Loan Inputs'!$B$8)+A452,DAY('Loan Inputs'!$B$8)),'Loan Inputs'!$B$8+A452*IF('Loan Inputs'!$B$14=26,14,7)))</f>
        <v/>
      </c>
      <c r="C452" s="2" t="str">
        <f t="shared" si="20"/>
        <v/>
      </c>
      <c r="D452" s="2" t="str">
        <f>IF(A452="","",MIN('Loan Inputs'!$B$17,C452+E452)+H452)</f>
        <v/>
      </c>
      <c r="E452" s="2" t="str">
        <f>IF(A452="","",C452*'Loan Inputs'!$B$15)</f>
        <v/>
      </c>
      <c r="F452" s="2" t="str">
        <f t="shared" si="18"/>
        <v/>
      </c>
      <c r="G452" s="2" t="str">
        <f t="shared" si="19"/>
        <v/>
      </c>
      <c r="H452" s="2" t="str">
        <f>IF(A452="","",MIN('Loan Inputs'!$B$18,MAX(0,C452+E452-'Loan Inputs'!$B$17)))</f>
        <v/>
      </c>
    </row>
    <row r="453" spans="1:8" ht="22" customHeight="1">
      <c r="A453" s="1" t="str">
        <f>IF(AND('Loan Inputs'!$B$12,447&lt;=IF('Loan Inputs'!$B$12,'Loan Inputs'!$B$7,0)*'Loan Inputs'!$B$14+5*'Loan Inputs'!$B$14,ISNUMBER(G452),G452&gt;0),447,"")</f>
        <v/>
      </c>
      <c r="B453" s="4" t="str">
        <f>IF(A453="","",IF('Loan Inputs'!$B$14=12,DATE(YEAR('Loan Inputs'!$B$8),MONTH('Loan Inputs'!$B$8)+A453,DAY('Loan Inputs'!$B$8)),'Loan Inputs'!$B$8+A453*IF('Loan Inputs'!$B$14=26,14,7)))</f>
        <v/>
      </c>
      <c r="C453" s="2" t="str">
        <f t="shared" si="20"/>
        <v/>
      </c>
      <c r="D453" s="2" t="str">
        <f>IF(A453="","",MIN('Loan Inputs'!$B$17,C453+E453)+H453)</f>
        <v/>
      </c>
      <c r="E453" s="2" t="str">
        <f>IF(A453="","",C453*'Loan Inputs'!$B$15)</f>
        <v/>
      </c>
      <c r="F453" s="2" t="str">
        <f t="shared" si="18"/>
        <v/>
      </c>
      <c r="G453" s="2" t="str">
        <f t="shared" si="19"/>
        <v/>
      </c>
      <c r="H453" s="2" t="str">
        <f>IF(A453="","",MIN('Loan Inputs'!$B$18,MAX(0,C453+E453-'Loan Inputs'!$B$17)))</f>
        <v/>
      </c>
    </row>
    <row r="454" spans="1:8" ht="22" customHeight="1">
      <c r="A454" s="1" t="str">
        <f>IF(AND('Loan Inputs'!$B$12,448&lt;=IF('Loan Inputs'!$B$12,'Loan Inputs'!$B$7,0)*'Loan Inputs'!$B$14+5*'Loan Inputs'!$B$14,ISNUMBER(G453),G453&gt;0),448,"")</f>
        <v/>
      </c>
      <c r="B454" s="4" t="str">
        <f>IF(A454="","",IF('Loan Inputs'!$B$14=12,DATE(YEAR('Loan Inputs'!$B$8),MONTH('Loan Inputs'!$B$8)+A454,DAY('Loan Inputs'!$B$8)),'Loan Inputs'!$B$8+A454*IF('Loan Inputs'!$B$14=26,14,7)))</f>
        <v/>
      </c>
      <c r="C454" s="2" t="str">
        <f t="shared" si="20"/>
        <v/>
      </c>
      <c r="D454" s="2" t="str">
        <f>IF(A454="","",MIN('Loan Inputs'!$B$17,C454+E454)+H454)</f>
        <v/>
      </c>
      <c r="E454" s="2" t="str">
        <f>IF(A454="","",C454*'Loan Inputs'!$B$15)</f>
        <v/>
      </c>
      <c r="F454" s="2" t="str">
        <f t="shared" si="18"/>
        <v/>
      </c>
      <c r="G454" s="2" t="str">
        <f t="shared" si="19"/>
        <v/>
      </c>
      <c r="H454" s="2" t="str">
        <f>IF(A454="","",MIN('Loan Inputs'!$B$18,MAX(0,C454+E454-'Loan Inputs'!$B$17)))</f>
        <v/>
      </c>
    </row>
    <row r="455" spans="1:8" ht="22" customHeight="1">
      <c r="A455" s="1" t="str">
        <f>IF(AND('Loan Inputs'!$B$12,449&lt;=IF('Loan Inputs'!$B$12,'Loan Inputs'!$B$7,0)*'Loan Inputs'!$B$14+5*'Loan Inputs'!$B$14,ISNUMBER(G454),G454&gt;0),449,"")</f>
        <v/>
      </c>
      <c r="B455" s="4" t="str">
        <f>IF(A455="","",IF('Loan Inputs'!$B$14=12,DATE(YEAR('Loan Inputs'!$B$8),MONTH('Loan Inputs'!$B$8)+A455,DAY('Loan Inputs'!$B$8)),'Loan Inputs'!$B$8+A455*IF('Loan Inputs'!$B$14=26,14,7)))</f>
        <v/>
      </c>
      <c r="C455" s="2" t="str">
        <f t="shared" si="20"/>
        <v/>
      </c>
      <c r="D455" s="2" t="str">
        <f>IF(A455="","",MIN('Loan Inputs'!$B$17,C455+E455)+H455)</f>
        <v/>
      </c>
      <c r="E455" s="2" t="str">
        <f>IF(A455="","",C455*'Loan Inputs'!$B$15)</f>
        <v/>
      </c>
      <c r="F455" s="2" t="str">
        <f t="shared" ref="F455:F518" si="21">IF(A455="","",MIN(C455,D455-E455))</f>
        <v/>
      </c>
      <c r="G455" s="2" t="str">
        <f t="shared" ref="G455:G518" si="22">IF(A455="","",IF(C455-F455&lt;0.0000001,0,MAX(0,C455-F455)))</f>
        <v/>
      </c>
      <c r="H455" s="2" t="str">
        <f>IF(A455="","",MIN('Loan Inputs'!$B$18,MAX(0,C455+E455-'Loan Inputs'!$B$17)))</f>
        <v/>
      </c>
    </row>
    <row r="456" spans="1:8" ht="22" customHeight="1">
      <c r="A456" s="1" t="str">
        <f>IF(AND('Loan Inputs'!$B$12,450&lt;=IF('Loan Inputs'!$B$12,'Loan Inputs'!$B$7,0)*'Loan Inputs'!$B$14+5*'Loan Inputs'!$B$14,ISNUMBER(G455),G455&gt;0),450,"")</f>
        <v/>
      </c>
      <c r="B456" s="4" t="str">
        <f>IF(A456="","",IF('Loan Inputs'!$B$14=12,DATE(YEAR('Loan Inputs'!$B$8),MONTH('Loan Inputs'!$B$8)+A456,DAY('Loan Inputs'!$B$8)),'Loan Inputs'!$B$8+A456*IF('Loan Inputs'!$B$14=26,14,7)))</f>
        <v/>
      </c>
      <c r="C456" s="2" t="str">
        <f t="shared" ref="C456:C519" si="23">IF(A456="","",G455)</f>
        <v/>
      </c>
      <c r="D456" s="2" t="str">
        <f>IF(A456="","",MIN('Loan Inputs'!$B$17,C456+E456)+H456)</f>
        <v/>
      </c>
      <c r="E456" s="2" t="str">
        <f>IF(A456="","",C456*'Loan Inputs'!$B$15)</f>
        <v/>
      </c>
      <c r="F456" s="2" t="str">
        <f t="shared" si="21"/>
        <v/>
      </c>
      <c r="G456" s="2" t="str">
        <f t="shared" si="22"/>
        <v/>
      </c>
      <c r="H456" s="2" t="str">
        <f>IF(A456="","",MIN('Loan Inputs'!$B$18,MAX(0,C456+E456-'Loan Inputs'!$B$17)))</f>
        <v/>
      </c>
    </row>
    <row r="457" spans="1:8" ht="22" customHeight="1">
      <c r="A457" s="1" t="str">
        <f>IF(AND('Loan Inputs'!$B$12,451&lt;=IF('Loan Inputs'!$B$12,'Loan Inputs'!$B$7,0)*'Loan Inputs'!$B$14+5*'Loan Inputs'!$B$14,ISNUMBER(G456),G456&gt;0),451,"")</f>
        <v/>
      </c>
      <c r="B457" s="4" t="str">
        <f>IF(A457="","",IF('Loan Inputs'!$B$14=12,DATE(YEAR('Loan Inputs'!$B$8),MONTH('Loan Inputs'!$B$8)+A457,DAY('Loan Inputs'!$B$8)),'Loan Inputs'!$B$8+A457*IF('Loan Inputs'!$B$14=26,14,7)))</f>
        <v/>
      </c>
      <c r="C457" s="2" t="str">
        <f t="shared" si="23"/>
        <v/>
      </c>
      <c r="D457" s="2" t="str">
        <f>IF(A457="","",MIN('Loan Inputs'!$B$17,C457+E457)+H457)</f>
        <v/>
      </c>
      <c r="E457" s="2" t="str">
        <f>IF(A457="","",C457*'Loan Inputs'!$B$15)</f>
        <v/>
      </c>
      <c r="F457" s="2" t="str">
        <f t="shared" si="21"/>
        <v/>
      </c>
      <c r="G457" s="2" t="str">
        <f t="shared" si="22"/>
        <v/>
      </c>
      <c r="H457" s="2" t="str">
        <f>IF(A457="","",MIN('Loan Inputs'!$B$18,MAX(0,C457+E457-'Loan Inputs'!$B$17)))</f>
        <v/>
      </c>
    </row>
    <row r="458" spans="1:8" ht="22" customHeight="1">
      <c r="A458" s="1" t="str">
        <f>IF(AND('Loan Inputs'!$B$12,452&lt;=IF('Loan Inputs'!$B$12,'Loan Inputs'!$B$7,0)*'Loan Inputs'!$B$14+5*'Loan Inputs'!$B$14,ISNUMBER(G457),G457&gt;0),452,"")</f>
        <v/>
      </c>
      <c r="B458" s="4" t="str">
        <f>IF(A458="","",IF('Loan Inputs'!$B$14=12,DATE(YEAR('Loan Inputs'!$B$8),MONTH('Loan Inputs'!$B$8)+A458,DAY('Loan Inputs'!$B$8)),'Loan Inputs'!$B$8+A458*IF('Loan Inputs'!$B$14=26,14,7)))</f>
        <v/>
      </c>
      <c r="C458" s="2" t="str">
        <f t="shared" si="23"/>
        <v/>
      </c>
      <c r="D458" s="2" t="str">
        <f>IF(A458="","",MIN('Loan Inputs'!$B$17,C458+E458)+H458)</f>
        <v/>
      </c>
      <c r="E458" s="2" t="str">
        <f>IF(A458="","",C458*'Loan Inputs'!$B$15)</f>
        <v/>
      </c>
      <c r="F458" s="2" t="str">
        <f t="shared" si="21"/>
        <v/>
      </c>
      <c r="G458" s="2" t="str">
        <f t="shared" si="22"/>
        <v/>
      </c>
      <c r="H458" s="2" t="str">
        <f>IF(A458="","",MIN('Loan Inputs'!$B$18,MAX(0,C458+E458-'Loan Inputs'!$B$17)))</f>
        <v/>
      </c>
    </row>
    <row r="459" spans="1:8" ht="22" customHeight="1">
      <c r="A459" s="1" t="str">
        <f>IF(AND('Loan Inputs'!$B$12,453&lt;=IF('Loan Inputs'!$B$12,'Loan Inputs'!$B$7,0)*'Loan Inputs'!$B$14+5*'Loan Inputs'!$B$14,ISNUMBER(G458),G458&gt;0),453,"")</f>
        <v/>
      </c>
      <c r="B459" s="4" t="str">
        <f>IF(A459="","",IF('Loan Inputs'!$B$14=12,DATE(YEAR('Loan Inputs'!$B$8),MONTH('Loan Inputs'!$B$8)+A459,DAY('Loan Inputs'!$B$8)),'Loan Inputs'!$B$8+A459*IF('Loan Inputs'!$B$14=26,14,7)))</f>
        <v/>
      </c>
      <c r="C459" s="2" t="str">
        <f t="shared" si="23"/>
        <v/>
      </c>
      <c r="D459" s="2" t="str">
        <f>IF(A459="","",MIN('Loan Inputs'!$B$17,C459+E459)+H459)</f>
        <v/>
      </c>
      <c r="E459" s="2" t="str">
        <f>IF(A459="","",C459*'Loan Inputs'!$B$15)</f>
        <v/>
      </c>
      <c r="F459" s="2" t="str">
        <f t="shared" si="21"/>
        <v/>
      </c>
      <c r="G459" s="2" t="str">
        <f t="shared" si="22"/>
        <v/>
      </c>
      <c r="H459" s="2" t="str">
        <f>IF(A459="","",MIN('Loan Inputs'!$B$18,MAX(0,C459+E459-'Loan Inputs'!$B$17)))</f>
        <v/>
      </c>
    </row>
    <row r="460" spans="1:8" ht="22" customHeight="1">
      <c r="A460" s="1" t="str">
        <f>IF(AND('Loan Inputs'!$B$12,454&lt;=IF('Loan Inputs'!$B$12,'Loan Inputs'!$B$7,0)*'Loan Inputs'!$B$14+5*'Loan Inputs'!$B$14,ISNUMBER(G459),G459&gt;0),454,"")</f>
        <v/>
      </c>
      <c r="B460" s="4" t="str">
        <f>IF(A460="","",IF('Loan Inputs'!$B$14=12,DATE(YEAR('Loan Inputs'!$B$8),MONTH('Loan Inputs'!$B$8)+A460,DAY('Loan Inputs'!$B$8)),'Loan Inputs'!$B$8+A460*IF('Loan Inputs'!$B$14=26,14,7)))</f>
        <v/>
      </c>
      <c r="C460" s="2" t="str">
        <f t="shared" si="23"/>
        <v/>
      </c>
      <c r="D460" s="2" t="str">
        <f>IF(A460="","",MIN('Loan Inputs'!$B$17,C460+E460)+H460)</f>
        <v/>
      </c>
      <c r="E460" s="2" t="str">
        <f>IF(A460="","",C460*'Loan Inputs'!$B$15)</f>
        <v/>
      </c>
      <c r="F460" s="2" t="str">
        <f t="shared" si="21"/>
        <v/>
      </c>
      <c r="G460" s="2" t="str">
        <f t="shared" si="22"/>
        <v/>
      </c>
      <c r="H460" s="2" t="str">
        <f>IF(A460="","",MIN('Loan Inputs'!$B$18,MAX(0,C460+E460-'Loan Inputs'!$B$17)))</f>
        <v/>
      </c>
    </row>
    <row r="461" spans="1:8" ht="22" customHeight="1">
      <c r="A461" s="1" t="str">
        <f>IF(AND('Loan Inputs'!$B$12,455&lt;=IF('Loan Inputs'!$B$12,'Loan Inputs'!$B$7,0)*'Loan Inputs'!$B$14+5*'Loan Inputs'!$B$14,ISNUMBER(G460),G460&gt;0),455,"")</f>
        <v/>
      </c>
      <c r="B461" s="4" t="str">
        <f>IF(A461="","",IF('Loan Inputs'!$B$14=12,DATE(YEAR('Loan Inputs'!$B$8),MONTH('Loan Inputs'!$B$8)+A461,DAY('Loan Inputs'!$B$8)),'Loan Inputs'!$B$8+A461*IF('Loan Inputs'!$B$14=26,14,7)))</f>
        <v/>
      </c>
      <c r="C461" s="2" t="str">
        <f t="shared" si="23"/>
        <v/>
      </c>
      <c r="D461" s="2" t="str">
        <f>IF(A461="","",MIN('Loan Inputs'!$B$17,C461+E461)+H461)</f>
        <v/>
      </c>
      <c r="E461" s="2" t="str">
        <f>IF(A461="","",C461*'Loan Inputs'!$B$15)</f>
        <v/>
      </c>
      <c r="F461" s="2" t="str">
        <f t="shared" si="21"/>
        <v/>
      </c>
      <c r="G461" s="2" t="str">
        <f t="shared" si="22"/>
        <v/>
      </c>
      <c r="H461" s="2" t="str">
        <f>IF(A461="","",MIN('Loan Inputs'!$B$18,MAX(0,C461+E461-'Loan Inputs'!$B$17)))</f>
        <v/>
      </c>
    </row>
    <row r="462" spans="1:8" ht="22" customHeight="1">
      <c r="A462" s="1" t="str">
        <f>IF(AND('Loan Inputs'!$B$12,456&lt;=IF('Loan Inputs'!$B$12,'Loan Inputs'!$B$7,0)*'Loan Inputs'!$B$14+5*'Loan Inputs'!$B$14,ISNUMBER(G461),G461&gt;0),456,"")</f>
        <v/>
      </c>
      <c r="B462" s="4" t="str">
        <f>IF(A462="","",IF('Loan Inputs'!$B$14=12,DATE(YEAR('Loan Inputs'!$B$8),MONTH('Loan Inputs'!$B$8)+A462,DAY('Loan Inputs'!$B$8)),'Loan Inputs'!$B$8+A462*IF('Loan Inputs'!$B$14=26,14,7)))</f>
        <v/>
      </c>
      <c r="C462" s="2" t="str">
        <f t="shared" si="23"/>
        <v/>
      </c>
      <c r="D462" s="2" t="str">
        <f>IF(A462="","",MIN('Loan Inputs'!$B$17,C462+E462)+H462)</f>
        <v/>
      </c>
      <c r="E462" s="2" t="str">
        <f>IF(A462="","",C462*'Loan Inputs'!$B$15)</f>
        <v/>
      </c>
      <c r="F462" s="2" t="str">
        <f t="shared" si="21"/>
        <v/>
      </c>
      <c r="G462" s="2" t="str">
        <f t="shared" si="22"/>
        <v/>
      </c>
      <c r="H462" s="2" t="str">
        <f>IF(A462="","",MIN('Loan Inputs'!$B$18,MAX(0,C462+E462-'Loan Inputs'!$B$17)))</f>
        <v/>
      </c>
    </row>
    <row r="463" spans="1:8" ht="22" customHeight="1">
      <c r="A463" s="1" t="str">
        <f>IF(AND('Loan Inputs'!$B$12,457&lt;=IF('Loan Inputs'!$B$12,'Loan Inputs'!$B$7,0)*'Loan Inputs'!$B$14+5*'Loan Inputs'!$B$14,ISNUMBER(G462),G462&gt;0),457,"")</f>
        <v/>
      </c>
      <c r="B463" s="4" t="str">
        <f>IF(A463="","",IF('Loan Inputs'!$B$14=12,DATE(YEAR('Loan Inputs'!$B$8),MONTH('Loan Inputs'!$B$8)+A463,DAY('Loan Inputs'!$B$8)),'Loan Inputs'!$B$8+A463*IF('Loan Inputs'!$B$14=26,14,7)))</f>
        <v/>
      </c>
      <c r="C463" s="2" t="str">
        <f t="shared" si="23"/>
        <v/>
      </c>
      <c r="D463" s="2" t="str">
        <f>IF(A463="","",MIN('Loan Inputs'!$B$17,C463+E463)+H463)</f>
        <v/>
      </c>
      <c r="E463" s="2" t="str">
        <f>IF(A463="","",C463*'Loan Inputs'!$B$15)</f>
        <v/>
      </c>
      <c r="F463" s="2" t="str">
        <f t="shared" si="21"/>
        <v/>
      </c>
      <c r="G463" s="2" t="str">
        <f t="shared" si="22"/>
        <v/>
      </c>
      <c r="H463" s="2" t="str">
        <f>IF(A463="","",MIN('Loan Inputs'!$B$18,MAX(0,C463+E463-'Loan Inputs'!$B$17)))</f>
        <v/>
      </c>
    </row>
    <row r="464" spans="1:8" ht="22" customHeight="1">
      <c r="A464" s="1" t="str">
        <f>IF(AND('Loan Inputs'!$B$12,458&lt;=IF('Loan Inputs'!$B$12,'Loan Inputs'!$B$7,0)*'Loan Inputs'!$B$14+5*'Loan Inputs'!$B$14,ISNUMBER(G463),G463&gt;0),458,"")</f>
        <v/>
      </c>
      <c r="B464" s="4" t="str">
        <f>IF(A464="","",IF('Loan Inputs'!$B$14=12,DATE(YEAR('Loan Inputs'!$B$8),MONTH('Loan Inputs'!$B$8)+A464,DAY('Loan Inputs'!$B$8)),'Loan Inputs'!$B$8+A464*IF('Loan Inputs'!$B$14=26,14,7)))</f>
        <v/>
      </c>
      <c r="C464" s="2" t="str">
        <f t="shared" si="23"/>
        <v/>
      </c>
      <c r="D464" s="2" t="str">
        <f>IF(A464="","",MIN('Loan Inputs'!$B$17,C464+E464)+H464)</f>
        <v/>
      </c>
      <c r="E464" s="2" t="str">
        <f>IF(A464="","",C464*'Loan Inputs'!$B$15)</f>
        <v/>
      </c>
      <c r="F464" s="2" t="str">
        <f t="shared" si="21"/>
        <v/>
      </c>
      <c r="G464" s="2" t="str">
        <f t="shared" si="22"/>
        <v/>
      </c>
      <c r="H464" s="2" t="str">
        <f>IF(A464="","",MIN('Loan Inputs'!$B$18,MAX(0,C464+E464-'Loan Inputs'!$B$17)))</f>
        <v/>
      </c>
    </row>
    <row r="465" spans="1:8" ht="22" customHeight="1">
      <c r="A465" s="1" t="str">
        <f>IF(AND('Loan Inputs'!$B$12,459&lt;=IF('Loan Inputs'!$B$12,'Loan Inputs'!$B$7,0)*'Loan Inputs'!$B$14+5*'Loan Inputs'!$B$14,ISNUMBER(G464),G464&gt;0),459,"")</f>
        <v/>
      </c>
      <c r="B465" s="4" t="str">
        <f>IF(A465="","",IF('Loan Inputs'!$B$14=12,DATE(YEAR('Loan Inputs'!$B$8),MONTH('Loan Inputs'!$B$8)+A465,DAY('Loan Inputs'!$B$8)),'Loan Inputs'!$B$8+A465*IF('Loan Inputs'!$B$14=26,14,7)))</f>
        <v/>
      </c>
      <c r="C465" s="2" t="str">
        <f t="shared" si="23"/>
        <v/>
      </c>
      <c r="D465" s="2" t="str">
        <f>IF(A465="","",MIN('Loan Inputs'!$B$17,C465+E465)+H465)</f>
        <v/>
      </c>
      <c r="E465" s="2" t="str">
        <f>IF(A465="","",C465*'Loan Inputs'!$B$15)</f>
        <v/>
      </c>
      <c r="F465" s="2" t="str">
        <f t="shared" si="21"/>
        <v/>
      </c>
      <c r="G465" s="2" t="str">
        <f t="shared" si="22"/>
        <v/>
      </c>
      <c r="H465" s="2" t="str">
        <f>IF(A465="","",MIN('Loan Inputs'!$B$18,MAX(0,C465+E465-'Loan Inputs'!$B$17)))</f>
        <v/>
      </c>
    </row>
    <row r="466" spans="1:8" ht="22" customHeight="1">
      <c r="A466" s="1" t="str">
        <f>IF(AND('Loan Inputs'!$B$12,460&lt;=IF('Loan Inputs'!$B$12,'Loan Inputs'!$B$7,0)*'Loan Inputs'!$B$14+5*'Loan Inputs'!$B$14,ISNUMBER(G465),G465&gt;0),460,"")</f>
        <v/>
      </c>
      <c r="B466" s="4" t="str">
        <f>IF(A466="","",IF('Loan Inputs'!$B$14=12,DATE(YEAR('Loan Inputs'!$B$8),MONTH('Loan Inputs'!$B$8)+A466,DAY('Loan Inputs'!$B$8)),'Loan Inputs'!$B$8+A466*IF('Loan Inputs'!$B$14=26,14,7)))</f>
        <v/>
      </c>
      <c r="C466" s="2" t="str">
        <f t="shared" si="23"/>
        <v/>
      </c>
      <c r="D466" s="2" t="str">
        <f>IF(A466="","",MIN('Loan Inputs'!$B$17,C466+E466)+H466)</f>
        <v/>
      </c>
      <c r="E466" s="2" t="str">
        <f>IF(A466="","",C466*'Loan Inputs'!$B$15)</f>
        <v/>
      </c>
      <c r="F466" s="2" t="str">
        <f t="shared" si="21"/>
        <v/>
      </c>
      <c r="G466" s="2" t="str">
        <f t="shared" si="22"/>
        <v/>
      </c>
      <c r="H466" s="2" t="str">
        <f>IF(A466="","",MIN('Loan Inputs'!$B$18,MAX(0,C466+E466-'Loan Inputs'!$B$17)))</f>
        <v/>
      </c>
    </row>
    <row r="467" spans="1:8" ht="22" customHeight="1">
      <c r="A467" s="1" t="str">
        <f>IF(AND('Loan Inputs'!$B$12,461&lt;=IF('Loan Inputs'!$B$12,'Loan Inputs'!$B$7,0)*'Loan Inputs'!$B$14+5*'Loan Inputs'!$B$14,ISNUMBER(G466),G466&gt;0),461,"")</f>
        <v/>
      </c>
      <c r="B467" s="4" t="str">
        <f>IF(A467="","",IF('Loan Inputs'!$B$14=12,DATE(YEAR('Loan Inputs'!$B$8),MONTH('Loan Inputs'!$B$8)+A467,DAY('Loan Inputs'!$B$8)),'Loan Inputs'!$B$8+A467*IF('Loan Inputs'!$B$14=26,14,7)))</f>
        <v/>
      </c>
      <c r="C467" s="2" t="str">
        <f t="shared" si="23"/>
        <v/>
      </c>
      <c r="D467" s="2" t="str">
        <f>IF(A467="","",MIN('Loan Inputs'!$B$17,C467+E467)+H467)</f>
        <v/>
      </c>
      <c r="E467" s="2" t="str">
        <f>IF(A467="","",C467*'Loan Inputs'!$B$15)</f>
        <v/>
      </c>
      <c r="F467" s="2" t="str">
        <f t="shared" si="21"/>
        <v/>
      </c>
      <c r="G467" s="2" t="str">
        <f t="shared" si="22"/>
        <v/>
      </c>
      <c r="H467" s="2" t="str">
        <f>IF(A467="","",MIN('Loan Inputs'!$B$18,MAX(0,C467+E467-'Loan Inputs'!$B$17)))</f>
        <v/>
      </c>
    </row>
    <row r="468" spans="1:8" ht="22" customHeight="1">
      <c r="A468" s="1" t="str">
        <f>IF(AND('Loan Inputs'!$B$12,462&lt;=IF('Loan Inputs'!$B$12,'Loan Inputs'!$B$7,0)*'Loan Inputs'!$B$14+5*'Loan Inputs'!$B$14,ISNUMBER(G467),G467&gt;0),462,"")</f>
        <v/>
      </c>
      <c r="B468" s="4" t="str">
        <f>IF(A468="","",IF('Loan Inputs'!$B$14=12,DATE(YEAR('Loan Inputs'!$B$8),MONTH('Loan Inputs'!$B$8)+A468,DAY('Loan Inputs'!$B$8)),'Loan Inputs'!$B$8+A468*IF('Loan Inputs'!$B$14=26,14,7)))</f>
        <v/>
      </c>
      <c r="C468" s="2" t="str">
        <f t="shared" si="23"/>
        <v/>
      </c>
      <c r="D468" s="2" t="str">
        <f>IF(A468="","",MIN('Loan Inputs'!$B$17,C468+E468)+H468)</f>
        <v/>
      </c>
      <c r="E468" s="2" t="str">
        <f>IF(A468="","",C468*'Loan Inputs'!$B$15)</f>
        <v/>
      </c>
      <c r="F468" s="2" t="str">
        <f t="shared" si="21"/>
        <v/>
      </c>
      <c r="G468" s="2" t="str">
        <f t="shared" si="22"/>
        <v/>
      </c>
      <c r="H468" s="2" t="str">
        <f>IF(A468="","",MIN('Loan Inputs'!$B$18,MAX(0,C468+E468-'Loan Inputs'!$B$17)))</f>
        <v/>
      </c>
    </row>
    <row r="469" spans="1:8" ht="22" customHeight="1">
      <c r="A469" s="1" t="str">
        <f>IF(AND('Loan Inputs'!$B$12,463&lt;=IF('Loan Inputs'!$B$12,'Loan Inputs'!$B$7,0)*'Loan Inputs'!$B$14+5*'Loan Inputs'!$B$14,ISNUMBER(G468),G468&gt;0),463,"")</f>
        <v/>
      </c>
      <c r="B469" s="4" t="str">
        <f>IF(A469="","",IF('Loan Inputs'!$B$14=12,DATE(YEAR('Loan Inputs'!$B$8),MONTH('Loan Inputs'!$B$8)+A469,DAY('Loan Inputs'!$B$8)),'Loan Inputs'!$B$8+A469*IF('Loan Inputs'!$B$14=26,14,7)))</f>
        <v/>
      </c>
      <c r="C469" s="2" t="str">
        <f t="shared" si="23"/>
        <v/>
      </c>
      <c r="D469" s="2" t="str">
        <f>IF(A469="","",MIN('Loan Inputs'!$B$17,C469+E469)+H469)</f>
        <v/>
      </c>
      <c r="E469" s="2" t="str">
        <f>IF(A469="","",C469*'Loan Inputs'!$B$15)</f>
        <v/>
      </c>
      <c r="F469" s="2" t="str">
        <f t="shared" si="21"/>
        <v/>
      </c>
      <c r="G469" s="2" t="str">
        <f t="shared" si="22"/>
        <v/>
      </c>
      <c r="H469" s="2" t="str">
        <f>IF(A469="","",MIN('Loan Inputs'!$B$18,MAX(0,C469+E469-'Loan Inputs'!$B$17)))</f>
        <v/>
      </c>
    </row>
    <row r="470" spans="1:8" ht="22" customHeight="1">
      <c r="A470" s="1" t="str">
        <f>IF(AND('Loan Inputs'!$B$12,464&lt;=IF('Loan Inputs'!$B$12,'Loan Inputs'!$B$7,0)*'Loan Inputs'!$B$14+5*'Loan Inputs'!$B$14,ISNUMBER(G469),G469&gt;0),464,"")</f>
        <v/>
      </c>
      <c r="B470" s="4" t="str">
        <f>IF(A470="","",IF('Loan Inputs'!$B$14=12,DATE(YEAR('Loan Inputs'!$B$8),MONTH('Loan Inputs'!$B$8)+A470,DAY('Loan Inputs'!$B$8)),'Loan Inputs'!$B$8+A470*IF('Loan Inputs'!$B$14=26,14,7)))</f>
        <v/>
      </c>
      <c r="C470" s="2" t="str">
        <f t="shared" si="23"/>
        <v/>
      </c>
      <c r="D470" s="2" t="str">
        <f>IF(A470="","",MIN('Loan Inputs'!$B$17,C470+E470)+H470)</f>
        <v/>
      </c>
      <c r="E470" s="2" t="str">
        <f>IF(A470="","",C470*'Loan Inputs'!$B$15)</f>
        <v/>
      </c>
      <c r="F470" s="2" t="str">
        <f t="shared" si="21"/>
        <v/>
      </c>
      <c r="G470" s="2" t="str">
        <f t="shared" si="22"/>
        <v/>
      </c>
      <c r="H470" s="2" t="str">
        <f>IF(A470="","",MIN('Loan Inputs'!$B$18,MAX(0,C470+E470-'Loan Inputs'!$B$17)))</f>
        <v/>
      </c>
    </row>
    <row r="471" spans="1:8" ht="22" customHeight="1">
      <c r="A471" s="1" t="str">
        <f>IF(AND('Loan Inputs'!$B$12,465&lt;=IF('Loan Inputs'!$B$12,'Loan Inputs'!$B$7,0)*'Loan Inputs'!$B$14+5*'Loan Inputs'!$B$14,ISNUMBER(G470),G470&gt;0),465,"")</f>
        <v/>
      </c>
      <c r="B471" s="4" t="str">
        <f>IF(A471="","",IF('Loan Inputs'!$B$14=12,DATE(YEAR('Loan Inputs'!$B$8),MONTH('Loan Inputs'!$B$8)+A471,DAY('Loan Inputs'!$B$8)),'Loan Inputs'!$B$8+A471*IF('Loan Inputs'!$B$14=26,14,7)))</f>
        <v/>
      </c>
      <c r="C471" s="2" t="str">
        <f t="shared" si="23"/>
        <v/>
      </c>
      <c r="D471" s="2" t="str">
        <f>IF(A471="","",MIN('Loan Inputs'!$B$17,C471+E471)+H471)</f>
        <v/>
      </c>
      <c r="E471" s="2" t="str">
        <f>IF(A471="","",C471*'Loan Inputs'!$B$15)</f>
        <v/>
      </c>
      <c r="F471" s="2" t="str">
        <f t="shared" si="21"/>
        <v/>
      </c>
      <c r="G471" s="2" t="str">
        <f t="shared" si="22"/>
        <v/>
      </c>
      <c r="H471" s="2" t="str">
        <f>IF(A471="","",MIN('Loan Inputs'!$B$18,MAX(0,C471+E471-'Loan Inputs'!$B$17)))</f>
        <v/>
      </c>
    </row>
    <row r="472" spans="1:8" ht="22" customHeight="1">
      <c r="A472" s="1" t="str">
        <f>IF(AND('Loan Inputs'!$B$12,466&lt;=IF('Loan Inputs'!$B$12,'Loan Inputs'!$B$7,0)*'Loan Inputs'!$B$14+5*'Loan Inputs'!$B$14,ISNUMBER(G471),G471&gt;0),466,"")</f>
        <v/>
      </c>
      <c r="B472" s="4" t="str">
        <f>IF(A472="","",IF('Loan Inputs'!$B$14=12,DATE(YEAR('Loan Inputs'!$B$8),MONTH('Loan Inputs'!$B$8)+A472,DAY('Loan Inputs'!$B$8)),'Loan Inputs'!$B$8+A472*IF('Loan Inputs'!$B$14=26,14,7)))</f>
        <v/>
      </c>
      <c r="C472" s="2" t="str">
        <f t="shared" si="23"/>
        <v/>
      </c>
      <c r="D472" s="2" t="str">
        <f>IF(A472="","",MIN('Loan Inputs'!$B$17,C472+E472)+H472)</f>
        <v/>
      </c>
      <c r="E472" s="2" t="str">
        <f>IF(A472="","",C472*'Loan Inputs'!$B$15)</f>
        <v/>
      </c>
      <c r="F472" s="2" t="str">
        <f t="shared" si="21"/>
        <v/>
      </c>
      <c r="G472" s="2" t="str">
        <f t="shared" si="22"/>
        <v/>
      </c>
      <c r="H472" s="2" t="str">
        <f>IF(A472="","",MIN('Loan Inputs'!$B$18,MAX(0,C472+E472-'Loan Inputs'!$B$17)))</f>
        <v/>
      </c>
    </row>
    <row r="473" spans="1:8" ht="22" customHeight="1">
      <c r="A473" s="1" t="str">
        <f>IF(AND('Loan Inputs'!$B$12,467&lt;=IF('Loan Inputs'!$B$12,'Loan Inputs'!$B$7,0)*'Loan Inputs'!$B$14+5*'Loan Inputs'!$B$14,ISNUMBER(G472),G472&gt;0),467,"")</f>
        <v/>
      </c>
      <c r="B473" s="4" t="str">
        <f>IF(A473="","",IF('Loan Inputs'!$B$14=12,DATE(YEAR('Loan Inputs'!$B$8),MONTH('Loan Inputs'!$B$8)+A473,DAY('Loan Inputs'!$B$8)),'Loan Inputs'!$B$8+A473*IF('Loan Inputs'!$B$14=26,14,7)))</f>
        <v/>
      </c>
      <c r="C473" s="2" t="str">
        <f t="shared" si="23"/>
        <v/>
      </c>
      <c r="D473" s="2" t="str">
        <f>IF(A473="","",MIN('Loan Inputs'!$B$17,C473+E473)+H473)</f>
        <v/>
      </c>
      <c r="E473" s="2" t="str">
        <f>IF(A473="","",C473*'Loan Inputs'!$B$15)</f>
        <v/>
      </c>
      <c r="F473" s="2" t="str">
        <f t="shared" si="21"/>
        <v/>
      </c>
      <c r="G473" s="2" t="str">
        <f t="shared" si="22"/>
        <v/>
      </c>
      <c r="H473" s="2" t="str">
        <f>IF(A473="","",MIN('Loan Inputs'!$B$18,MAX(0,C473+E473-'Loan Inputs'!$B$17)))</f>
        <v/>
      </c>
    </row>
    <row r="474" spans="1:8" ht="22" customHeight="1">
      <c r="A474" s="1" t="str">
        <f>IF(AND('Loan Inputs'!$B$12,468&lt;=IF('Loan Inputs'!$B$12,'Loan Inputs'!$B$7,0)*'Loan Inputs'!$B$14+5*'Loan Inputs'!$B$14,ISNUMBER(G473),G473&gt;0),468,"")</f>
        <v/>
      </c>
      <c r="B474" s="4" t="str">
        <f>IF(A474="","",IF('Loan Inputs'!$B$14=12,DATE(YEAR('Loan Inputs'!$B$8),MONTH('Loan Inputs'!$B$8)+A474,DAY('Loan Inputs'!$B$8)),'Loan Inputs'!$B$8+A474*IF('Loan Inputs'!$B$14=26,14,7)))</f>
        <v/>
      </c>
      <c r="C474" s="2" t="str">
        <f t="shared" si="23"/>
        <v/>
      </c>
      <c r="D474" s="2" t="str">
        <f>IF(A474="","",MIN('Loan Inputs'!$B$17,C474+E474)+H474)</f>
        <v/>
      </c>
      <c r="E474" s="2" t="str">
        <f>IF(A474="","",C474*'Loan Inputs'!$B$15)</f>
        <v/>
      </c>
      <c r="F474" s="2" t="str">
        <f t="shared" si="21"/>
        <v/>
      </c>
      <c r="G474" s="2" t="str">
        <f t="shared" si="22"/>
        <v/>
      </c>
      <c r="H474" s="2" t="str">
        <f>IF(A474="","",MIN('Loan Inputs'!$B$18,MAX(0,C474+E474-'Loan Inputs'!$B$17)))</f>
        <v/>
      </c>
    </row>
    <row r="475" spans="1:8" ht="22" customHeight="1">
      <c r="A475" s="1" t="str">
        <f>IF(AND('Loan Inputs'!$B$12,469&lt;=IF('Loan Inputs'!$B$12,'Loan Inputs'!$B$7,0)*'Loan Inputs'!$B$14+5*'Loan Inputs'!$B$14,ISNUMBER(G474),G474&gt;0),469,"")</f>
        <v/>
      </c>
      <c r="B475" s="4" t="str">
        <f>IF(A475="","",IF('Loan Inputs'!$B$14=12,DATE(YEAR('Loan Inputs'!$B$8),MONTH('Loan Inputs'!$B$8)+A475,DAY('Loan Inputs'!$B$8)),'Loan Inputs'!$B$8+A475*IF('Loan Inputs'!$B$14=26,14,7)))</f>
        <v/>
      </c>
      <c r="C475" s="2" t="str">
        <f t="shared" si="23"/>
        <v/>
      </c>
      <c r="D475" s="2" t="str">
        <f>IF(A475="","",MIN('Loan Inputs'!$B$17,C475+E475)+H475)</f>
        <v/>
      </c>
      <c r="E475" s="2" t="str">
        <f>IF(A475="","",C475*'Loan Inputs'!$B$15)</f>
        <v/>
      </c>
      <c r="F475" s="2" t="str">
        <f t="shared" si="21"/>
        <v/>
      </c>
      <c r="G475" s="2" t="str">
        <f t="shared" si="22"/>
        <v/>
      </c>
      <c r="H475" s="2" t="str">
        <f>IF(A475="","",MIN('Loan Inputs'!$B$18,MAX(0,C475+E475-'Loan Inputs'!$B$17)))</f>
        <v/>
      </c>
    </row>
    <row r="476" spans="1:8" ht="22" customHeight="1">
      <c r="A476" s="1" t="str">
        <f>IF(AND('Loan Inputs'!$B$12,470&lt;=IF('Loan Inputs'!$B$12,'Loan Inputs'!$B$7,0)*'Loan Inputs'!$B$14+5*'Loan Inputs'!$B$14,ISNUMBER(G475),G475&gt;0),470,"")</f>
        <v/>
      </c>
      <c r="B476" s="4" t="str">
        <f>IF(A476="","",IF('Loan Inputs'!$B$14=12,DATE(YEAR('Loan Inputs'!$B$8),MONTH('Loan Inputs'!$B$8)+A476,DAY('Loan Inputs'!$B$8)),'Loan Inputs'!$B$8+A476*IF('Loan Inputs'!$B$14=26,14,7)))</f>
        <v/>
      </c>
      <c r="C476" s="2" t="str">
        <f t="shared" si="23"/>
        <v/>
      </c>
      <c r="D476" s="2" t="str">
        <f>IF(A476="","",MIN('Loan Inputs'!$B$17,C476+E476)+H476)</f>
        <v/>
      </c>
      <c r="E476" s="2" t="str">
        <f>IF(A476="","",C476*'Loan Inputs'!$B$15)</f>
        <v/>
      </c>
      <c r="F476" s="2" t="str">
        <f t="shared" si="21"/>
        <v/>
      </c>
      <c r="G476" s="2" t="str">
        <f t="shared" si="22"/>
        <v/>
      </c>
      <c r="H476" s="2" t="str">
        <f>IF(A476="","",MIN('Loan Inputs'!$B$18,MAX(0,C476+E476-'Loan Inputs'!$B$17)))</f>
        <v/>
      </c>
    </row>
    <row r="477" spans="1:8" ht="22" customHeight="1">
      <c r="A477" s="1" t="str">
        <f>IF(AND('Loan Inputs'!$B$12,471&lt;=IF('Loan Inputs'!$B$12,'Loan Inputs'!$B$7,0)*'Loan Inputs'!$B$14+5*'Loan Inputs'!$B$14,ISNUMBER(G476),G476&gt;0),471,"")</f>
        <v/>
      </c>
      <c r="B477" s="4" t="str">
        <f>IF(A477="","",IF('Loan Inputs'!$B$14=12,DATE(YEAR('Loan Inputs'!$B$8),MONTH('Loan Inputs'!$B$8)+A477,DAY('Loan Inputs'!$B$8)),'Loan Inputs'!$B$8+A477*IF('Loan Inputs'!$B$14=26,14,7)))</f>
        <v/>
      </c>
      <c r="C477" s="2" t="str">
        <f t="shared" si="23"/>
        <v/>
      </c>
      <c r="D477" s="2" t="str">
        <f>IF(A477="","",MIN('Loan Inputs'!$B$17,C477+E477)+H477)</f>
        <v/>
      </c>
      <c r="E477" s="2" t="str">
        <f>IF(A477="","",C477*'Loan Inputs'!$B$15)</f>
        <v/>
      </c>
      <c r="F477" s="2" t="str">
        <f t="shared" si="21"/>
        <v/>
      </c>
      <c r="G477" s="2" t="str">
        <f t="shared" si="22"/>
        <v/>
      </c>
      <c r="H477" s="2" t="str">
        <f>IF(A477="","",MIN('Loan Inputs'!$B$18,MAX(0,C477+E477-'Loan Inputs'!$B$17)))</f>
        <v/>
      </c>
    </row>
    <row r="478" spans="1:8" ht="22" customHeight="1">
      <c r="A478" s="1" t="str">
        <f>IF(AND('Loan Inputs'!$B$12,472&lt;=IF('Loan Inputs'!$B$12,'Loan Inputs'!$B$7,0)*'Loan Inputs'!$B$14+5*'Loan Inputs'!$B$14,ISNUMBER(G477),G477&gt;0),472,"")</f>
        <v/>
      </c>
      <c r="B478" s="4" t="str">
        <f>IF(A478="","",IF('Loan Inputs'!$B$14=12,DATE(YEAR('Loan Inputs'!$B$8),MONTH('Loan Inputs'!$B$8)+A478,DAY('Loan Inputs'!$B$8)),'Loan Inputs'!$B$8+A478*IF('Loan Inputs'!$B$14=26,14,7)))</f>
        <v/>
      </c>
      <c r="C478" s="2" t="str">
        <f t="shared" si="23"/>
        <v/>
      </c>
      <c r="D478" s="2" t="str">
        <f>IF(A478="","",MIN('Loan Inputs'!$B$17,C478+E478)+H478)</f>
        <v/>
      </c>
      <c r="E478" s="2" t="str">
        <f>IF(A478="","",C478*'Loan Inputs'!$B$15)</f>
        <v/>
      </c>
      <c r="F478" s="2" t="str">
        <f t="shared" si="21"/>
        <v/>
      </c>
      <c r="G478" s="2" t="str">
        <f t="shared" si="22"/>
        <v/>
      </c>
      <c r="H478" s="2" t="str">
        <f>IF(A478="","",MIN('Loan Inputs'!$B$18,MAX(0,C478+E478-'Loan Inputs'!$B$17)))</f>
        <v/>
      </c>
    </row>
    <row r="479" spans="1:8" ht="22" customHeight="1">
      <c r="A479" s="1" t="str">
        <f>IF(AND('Loan Inputs'!$B$12,473&lt;=IF('Loan Inputs'!$B$12,'Loan Inputs'!$B$7,0)*'Loan Inputs'!$B$14+5*'Loan Inputs'!$B$14,ISNUMBER(G478),G478&gt;0),473,"")</f>
        <v/>
      </c>
      <c r="B479" s="4" t="str">
        <f>IF(A479="","",IF('Loan Inputs'!$B$14=12,DATE(YEAR('Loan Inputs'!$B$8),MONTH('Loan Inputs'!$B$8)+A479,DAY('Loan Inputs'!$B$8)),'Loan Inputs'!$B$8+A479*IF('Loan Inputs'!$B$14=26,14,7)))</f>
        <v/>
      </c>
      <c r="C479" s="2" t="str">
        <f t="shared" si="23"/>
        <v/>
      </c>
      <c r="D479" s="2" t="str">
        <f>IF(A479="","",MIN('Loan Inputs'!$B$17,C479+E479)+H479)</f>
        <v/>
      </c>
      <c r="E479" s="2" t="str">
        <f>IF(A479="","",C479*'Loan Inputs'!$B$15)</f>
        <v/>
      </c>
      <c r="F479" s="2" t="str">
        <f t="shared" si="21"/>
        <v/>
      </c>
      <c r="G479" s="2" t="str">
        <f t="shared" si="22"/>
        <v/>
      </c>
      <c r="H479" s="2" t="str">
        <f>IF(A479="","",MIN('Loan Inputs'!$B$18,MAX(0,C479+E479-'Loan Inputs'!$B$17)))</f>
        <v/>
      </c>
    </row>
    <row r="480" spans="1:8" ht="22" customHeight="1">
      <c r="A480" s="1" t="str">
        <f>IF(AND('Loan Inputs'!$B$12,474&lt;=IF('Loan Inputs'!$B$12,'Loan Inputs'!$B$7,0)*'Loan Inputs'!$B$14+5*'Loan Inputs'!$B$14,ISNUMBER(G479),G479&gt;0),474,"")</f>
        <v/>
      </c>
      <c r="B480" s="4" t="str">
        <f>IF(A480="","",IF('Loan Inputs'!$B$14=12,DATE(YEAR('Loan Inputs'!$B$8),MONTH('Loan Inputs'!$B$8)+A480,DAY('Loan Inputs'!$B$8)),'Loan Inputs'!$B$8+A480*IF('Loan Inputs'!$B$14=26,14,7)))</f>
        <v/>
      </c>
      <c r="C480" s="2" t="str">
        <f t="shared" si="23"/>
        <v/>
      </c>
      <c r="D480" s="2" t="str">
        <f>IF(A480="","",MIN('Loan Inputs'!$B$17,C480+E480)+H480)</f>
        <v/>
      </c>
      <c r="E480" s="2" t="str">
        <f>IF(A480="","",C480*'Loan Inputs'!$B$15)</f>
        <v/>
      </c>
      <c r="F480" s="2" t="str">
        <f t="shared" si="21"/>
        <v/>
      </c>
      <c r="G480" s="2" t="str">
        <f t="shared" si="22"/>
        <v/>
      </c>
      <c r="H480" s="2" t="str">
        <f>IF(A480="","",MIN('Loan Inputs'!$B$18,MAX(0,C480+E480-'Loan Inputs'!$B$17)))</f>
        <v/>
      </c>
    </row>
    <row r="481" spans="1:8" ht="22" customHeight="1">
      <c r="A481" s="1" t="str">
        <f>IF(AND('Loan Inputs'!$B$12,475&lt;=IF('Loan Inputs'!$B$12,'Loan Inputs'!$B$7,0)*'Loan Inputs'!$B$14+5*'Loan Inputs'!$B$14,ISNUMBER(G480),G480&gt;0),475,"")</f>
        <v/>
      </c>
      <c r="B481" s="4" t="str">
        <f>IF(A481="","",IF('Loan Inputs'!$B$14=12,DATE(YEAR('Loan Inputs'!$B$8),MONTH('Loan Inputs'!$B$8)+A481,DAY('Loan Inputs'!$B$8)),'Loan Inputs'!$B$8+A481*IF('Loan Inputs'!$B$14=26,14,7)))</f>
        <v/>
      </c>
      <c r="C481" s="2" t="str">
        <f t="shared" si="23"/>
        <v/>
      </c>
      <c r="D481" s="2" t="str">
        <f>IF(A481="","",MIN('Loan Inputs'!$B$17,C481+E481)+H481)</f>
        <v/>
      </c>
      <c r="E481" s="2" t="str">
        <f>IF(A481="","",C481*'Loan Inputs'!$B$15)</f>
        <v/>
      </c>
      <c r="F481" s="2" t="str">
        <f t="shared" si="21"/>
        <v/>
      </c>
      <c r="G481" s="2" t="str">
        <f t="shared" si="22"/>
        <v/>
      </c>
      <c r="H481" s="2" t="str">
        <f>IF(A481="","",MIN('Loan Inputs'!$B$18,MAX(0,C481+E481-'Loan Inputs'!$B$17)))</f>
        <v/>
      </c>
    </row>
    <row r="482" spans="1:8" ht="22" customHeight="1">
      <c r="A482" s="1" t="str">
        <f>IF(AND('Loan Inputs'!$B$12,476&lt;=IF('Loan Inputs'!$B$12,'Loan Inputs'!$B$7,0)*'Loan Inputs'!$B$14+5*'Loan Inputs'!$B$14,ISNUMBER(G481),G481&gt;0),476,"")</f>
        <v/>
      </c>
      <c r="B482" s="4" t="str">
        <f>IF(A482="","",IF('Loan Inputs'!$B$14=12,DATE(YEAR('Loan Inputs'!$B$8),MONTH('Loan Inputs'!$B$8)+A482,DAY('Loan Inputs'!$B$8)),'Loan Inputs'!$B$8+A482*IF('Loan Inputs'!$B$14=26,14,7)))</f>
        <v/>
      </c>
      <c r="C482" s="2" t="str">
        <f t="shared" si="23"/>
        <v/>
      </c>
      <c r="D482" s="2" t="str">
        <f>IF(A482="","",MIN('Loan Inputs'!$B$17,C482+E482)+H482)</f>
        <v/>
      </c>
      <c r="E482" s="2" t="str">
        <f>IF(A482="","",C482*'Loan Inputs'!$B$15)</f>
        <v/>
      </c>
      <c r="F482" s="2" t="str">
        <f t="shared" si="21"/>
        <v/>
      </c>
      <c r="G482" s="2" t="str">
        <f t="shared" si="22"/>
        <v/>
      </c>
      <c r="H482" s="2" t="str">
        <f>IF(A482="","",MIN('Loan Inputs'!$B$18,MAX(0,C482+E482-'Loan Inputs'!$B$17)))</f>
        <v/>
      </c>
    </row>
    <row r="483" spans="1:8" ht="22" customHeight="1">
      <c r="A483" s="1" t="str">
        <f>IF(AND('Loan Inputs'!$B$12,477&lt;=IF('Loan Inputs'!$B$12,'Loan Inputs'!$B$7,0)*'Loan Inputs'!$B$14+5*'Loan Inputs'!$B$14,ISNUMBER(G482),G482&gt;0),477,"")</f>
        <v/>
      </c>
      <c r="B483" s="4" t="str">
        <f>IF(A483="","",IF('Loan Inputs'!$B$14=12,DATE(YEAR('Loan Inputs'!$B$8),MONTH('Loan Inputs'!$B$8)+A483,DAY('Loan Inputs'!$B$8)),'Loan Inputs'!$B$8+A483*IF('Loan Inputs'!$B$14=26,14,7)))</f>
        <v/>
      </c>
      <c r="C483" s="2" t="str">
        <f t="shared" si="23"/>
        <v/>
      </c>
      <c r="D483" s="2" t="str">
        <f>IF(A483="","",MIN('Loan Inputs'!$B$17,C483+E483)+H483)</f>
        <v/>
      </c>
      <c r="E483" s="2" t="str">
        <f>IF(A483="","",C483*'Loan Inputs'!$B$15)</f>
        <v/>
      </c>
      <c r="F483" s="2" t="str">
        <f t="shared" si="21"/>
        <v/>
      </c>
      <c r="G483" s="2" t="str">
        <f t="shared" si="22"/>
        <v/>
      </c>
      <c r="H483" s="2" t="str">
        <f>IF(A483="","",MIN('Loan Inputs'!$B$18,MAX(0,C483+E483-'Loan Inputs'!$B$17)))</f>
        <v/>
      </c>
    </row>
    <row r="484" spans="1:8" ht="22" customHeight="1">
      <c r="A484" s="1" t="str">
        <f>IF(AND('Loan Inputs'!$B$12,478&lt;=IF('Loan Inputs'!$B$12,'Loan Inputs'!$B$7,0)*'Loan Inputs'!$B$14+5*'Loan Inputs'!$B$14,ISNUMBER(G483),G483&gt;0),478,"")</f>
        <v/>
      </c>
      <c r="B484" s="4" t="str">
        <f>IF(A484="","",IF('Loan Inputs'!$B$14=12,DATE(YEAR('Loan Inputs'!$B$8),MONTH('Loan Inputs'!$B$8)+A484,DAY('Loan Inputs'!$B$8)),'Loan Inputs'!$B$8+A484*IF('Loan Inputs'!$B$14=26,14,7)))</f>
        <v/>
      </c>
      <c r="C484" s="2" t="str">
        <f t="shared" si="23"/>
        <v/>
      </c>
      <c r="D484" s="2" t="str">
        <f>IF(A484="","",MIN('Loan Inputs'!$B$17,C484+E484)+H484)</f>
        <v/>
      </c>
      <c r="E484" s="2" t="str">
        <f>IF(A484="","",C484*'Loan Inputs'!$B$15)</f>
        <v/>
      </c>
      <c r="F484" s="2" t="str">
        <f t="shared" si="21"/>
        <v/>
      </c>
      <c r="G484" s="2" t="str">
        <f t="shared" si="22"/>
        <v/>
      </c>
      <c r="H484" s="2" t="str">
        <f>IF(A484="","",MIN('Loan Inputs'!$B$18,MAX(0,C484+E484-'Loan Inputs'!$B$17)))</f>
        <v/>
      </c>
    </row>
    <row r="485" spans="1:8" ht="22" customHeight="1">
      <c r="A485" s="1" t="str">
        <f>IF(AND('Loan Inputs'!$B$12,479&lt;=IF('Loan Inputs'!$B$12,'Loan Inputs'!$B$7,0)*'Loan Inputs'!$B$14+5*'Loan Inputs'!$B$14,ISNUMBER(G484),G484&gt;0),479,"")</f>
        <v/>
      </c>
      <c r="B485" s="4" t="str">
        <f>IF(A485="","",IF('Loan Inputs'!$B$14=12,DATE(YEAR('Loan Inputs'!$B$8),MONTH('Loan Inputs'!$B$8)+A485,DAY('Loan Inputs'!$B$8)),'Loan Inputs'!$B$8+A485*IF('Loan Inputs'!$B$14=26,14,7)))</f>
        <v/>
      </c>
      <c r="C485" s="2" t="str">
        <f t="shared" si="23"/>
        <v/>
      </c>
      <c r="D485" s="2" t="str">
        <f>IF(A485="","",MIN('Loan Inputs'!$B$17,C485+E485)+H485)</f>
        <v/>
      </c>
      <c r="E485" s="2" t="str">
        <f>IF(A485="","",C485*'Loan Inputs'!$B$15)</f>
        <v/>
      </c>
      <c r="F485" s="2" t="str">
        <f t="shared" si="21"/>
        <v/>
      </c>
      <c r="G485" s="2" t="str">
        <f t="shared" si="22"/>
        <v/>
      </c>
      <c r="H485" s="2" t="str">
        <f>IF(A485="","",MIN('Loan Inputs'!$B$18,MAX(0,C485+E485-'Loan Inputs'!$B$17)))</f>
        <v/>
      </c>
    </row>
    <row r="486" spans="1:8" ht="22" customHeight="1">
      <c r="A486" s="1" t="str">
        <f>IF(AND('Loan Inputs'!$B$12,480&lt;=IF('Loan Inputs'!$B$12,'Loan Inputs'!$B$7,0)*'Loan Inputs'!$B$14+5*'Loan Inputs'!$B$14,ISNUMBER(G485),G485&gt;0),480,"")</f>
        <v/>
      </c>
      <c r="B486" s="4" t="str">
        <f>IF(A486="","",IF('Loan Inputs'!$B$14=12,DATE(YEAR('Loan Inputs'!$B$8),MONTH('Loan Inputs'!$B$8)+A486,DAY('Loan Inputs'!$B$8)),'Loan Inputs'!$B$8+A486*IF('Loan Inputs'!$B$14=26,14,7)))</f>
        <v/>
      </c>
      <c r="C486" s="2" t="str">
        <f t="shared" si="23"/>
        <v/>
      </c>
      <c r="D486" s="2" t="str">
        <f>IF(A486="","",MIN('Loan Inputs'!$B$17,C486+E486)+H486)</f>
        <v/>
      </c>
      <c r="E486" s="2" t="str">
        <f>IF(A486="","",C486*'Loan Inputs'!$B$15)</f>
        <v/>
      </c>
      <c r="F486" s="2" t="str">
        <f t="shared" si="21"/>
        <v/>
      </c>
      <c r="G486" s="2" t="str">
        <f t="shared" si="22"/>
        <v/>
      </c>
      <c r="H486" s="2" t="str">
        <f>IF(A486="","",MIN('Loan Inputs'!$B$18,MAX(0,C486+E486-'Loan Inputs'!$B$17)))</f>
        <v/>
      </c>
    </row>
    <row r="487" spans="1:8" ht="22" customHeight="1">
      <c r="A487" s="1" t="str">
        <f>IF(AND('Loan Inputs'!$B$12,481&lt;=IF('Loan Inputs'!$B$12,'Loan Inputs'!$B$7,0)*'Loan Inputs'!$B$14+5*'Loan Inputs'!$B$14,ISNUMBER(G486),G486&gt;0),481,"")</f>
        <v/>
      </c>
      <c r="B487" s="4" t="str">
        <f>IF(A487="","",IF('Loan Inputs'!$B$14=12,DATE(YEAR('Loan Inputs'!$B$8),MONTH('Loan Inputs'!$B$8)+A487,DAY('Loan Inputs'!$B$8)),'Loan Inputs'!$B$8+A487*IF('Loan Inputs'!$B$14=26,14,7)))</f>
        <v/>
      </c>
      <c r="C487" s="2" t="str">
        <f t="shared" si="23"/>
        <v/>
      </c>
      <c r="D487" s="2" t="str">
        <f>IF(A487="","",MIN('Loan Inputs'!$B$17,C487+E487)+H487)</f>
        <v/>
      </c>
      <c r="E487" s="2" t="str">
        <f>IF(A487="","",C487*'Loan Inputs'!$B$15)</f>
        <v/>
      </c>
      <c r="F487" s="2" t="str">
        <f t="shared" si="21"/>
        <v/>
      </c>
      <c r="G487" s="2" t="str">
        <f t="shared" si="22"/>
        <v/>
      </c>
      <c r="H487" s="2" t="str">
        <f>IF(A487="","",MIN('Loan Inputs'!$B$18,MAX(0,C487+E487-'Loan Inputs'!$B$17)))</f>
        <v/>
      </c>
    </row>
    <row r="488" spans="1:8" ht="22" customHeight="1">
      <c r="A488" s="1" t="str">
        <f>IF(AND('Loan Inputs'!$B$12,482&lt;=IF('Loan Inputs'!$B$12,'Loan Inputs'!$B$7,0)*'Loan Inputs'!$B$14+5*'Loan Inputs'!$B$14,ISNUMBER(G487),G487&gt;0),482,"")</f>
        <v/>
      </c>
      <c r="B488" s="4" t="str">
        <f>IF(A488="","",IF('Loan Inputs'!$B$14=12,DATE(YEAR('Loan Inputs'!$B$8),MONTH('Loan Inputs'!$B$8)+A488,DAY('Loan Inputs'!$B$8)),'Loan Inputs'!$B$8+A488*IF('Loan Inputs'!$B$14=26,14,7)))</f>
        <v/>
      </c>
      <c r="C488" s="2" t="str">
        <f t="shared" si="23"/>
        <v/>
      </c>
      <c r="D488" s="2" t="str">
        <f>IF(A488="","",MIN('Loan Inputs'!$B$17,C488+E488)+H488)</f>
        <v/>
      </c>
      <c r="E488" s="2" t="str">
        <f>IF(A488="","",C488*'Loan Inputs'!$B$15)</f>
        <v/>
      </c>
      <c r="F488" s="2" t="str">
        <f t="shared" si="21"/>
        <v/>
      </c>
      <c r="G488" s="2" t="str">
        <f t="shared" si="22"/>
        <v/>
      </c>
      <c r="H488" s="2" t="str">
        <f>IF(A488="","",MIN('Loan Inputs'!$B$18,MAX(0,C488+E488-'Loan Inputs'!$B$17)))</f>
        <v/>
      </c>
    </row>
    <row r="489" spans="1:8" ht="22" customHeight="1">
      <c r="A489" s="1" t="str">
        <f>IF(AND('Loan Inputs'!$B$12,483&lt;=IF('Loan Inputs'!$B$12,'Loan Inputs'!$B$7,0)*'Loan Inputs'!$B$14+5*'Loan Inputs'!$B$14,ISNUMBER(G488),G488&gt;0),483,"")</f>
        <v/>
      </c>
      <c r="B489" s="4" t="str">
        <f>IF(A489="","",IF('Loan Inputs'!$B$14=12,DATE(YEAR('Loan Inputs'!$B$8),MONTH('Loan Inputs'!$B$8)+A489,DAY('Loan Inputs'!$B$8)),'Loan Inputs'!$B$8+A489*IF('Loan Inputs'!$B$14=26,14,7)))</f>
        <v/>
      </c>
      <c r="C489" s="2" t="str">
        <f t="shared" si="23"/>
        <v/>
      </c>
      <c r="D489" s="2" t="str">
        <f>IF(A489="","",MIN('Loan Inputs'!$B$17,C489+E489)+H489)</f>
        <v/>
      </c>
      <c r="E489" s="2" t="str">
        <f>IF(A489="","",C489*'Loan Inputs'!$B$15)</f>
        <v/>
      </c>
      <c r="F489" s="2" t="str">
        <f t="shared" si="21"/>
        <v/>
      </c>
      <c r="G489" s="2" t="str">
        <f t="shared" si="22"/>
        <v/>
      </c>
      <c r="H489" s="2" t="str">
        <f>IF(A489="","",MIN('Loan Inputs'!$B$18,MAX(0,C489+E489-'Loan Inputs'!$B$17)))</f>
        <v/>
      </c>
    </row>
    <row r="490" spans="1:8" ht="22" customHeight="1">
      <c r="A490" s="1" t="str">
        <f>IF(AND('Loan Inputs'!$B$12,484&lt;=IF('Loan Inputs'!$B$12,'Loan Inputs'!$B$7,0)*'Loan Inputs'!$B$14+5*'Loan Inputs'!$B$14,ISNUMBER(G489),G489&gt;0),484,"")</f>
        <v/>
      </c>
      <c r="B490" s="4" t="str">
        <f>IF(A490="","",IF('Loan Inputs'!$B$14=12,DATE(YEAR('Loan Inputs'!$B$8),MONTH('Loan Inputs'!$B$8)+A490,DAY('Loan Inputs'!$B$8)),'Loan Inputs'!$B$8+A490*IF('Loan Inputs'!$B$14=26,14,7)))</f>
        <v/>
      </c>
      <c r="C490" s="2" t="str">
        <f t="shared" si="23"/>
        <v/>
      </c>
      <c r="D490" s="2" t="str">
        <f>IF(A490="","",MIN('Loan Inputs'!$B$17,C490+E490)+H490)</f>
        <v/>
      </c>
      <c r="E490" s="2" t="str">
        <f>IF(A490="","",C490*'Loan Inputs'!$B$15)</f>
        <v/>
      </c>
      <c r="F490" s="2" t="str">
        <f t="shared" si="21"/>
        <v/>
      </c>
      <c r="G490" s="2" t="str">
        <f t="shared" si="22"/>
        <v/>
      </c>
      <c r="H490" s="2" t="str">
        <f>IF(A490="","",MIN('Loan Inputs'!$B$18,MAX(0,C490+E490-'Loan Inputs'!$B$17)))</f>
        <v/>
      </c>
    </row>
    <row r="491" spans="1:8" ht="22" customHeight="1">
      <c r="A491" s="1" t="str">
        <f>IF(AND('Loan Inputs'!$B$12,485&lt;=IF('Loan Inputs'!$B$12,'Loan Inputs'!$B$7,0)*'Loan Inputs'!$B$14+5*'Loan Inputs'!$B$14,ISNUMBER(G490),G490&gt;0),485,"")</f>
        <v/>
      </c>
      <c r="B491" s="4" t="str">
        <f>IF(A491="","",IF('Loan Inputs'!$B$14=12,DATE(YEAR('Loan Inputs'!$B$8),MONTH('Loan Inputs'!$B$8)+A491,DAY('Loan Inputs'!$B$8)),'Loan Inputs'!$B$8+A491*IF('Loan Inputs'!$B$14=26,14,7)))</f>
        <v/>
      </c>
      <c r="C491" s="2" t="str">
        <f t="shared" si="23"/>
        <v/>
      </c>
      <c r="D491" s="2" t="str">
        <f>IF(A491="","",MIN('Loan Inputs'!$B$17,C491+E491)+H491)</f>
        <v/>
      </c>
      <c r="E491" s="2" t="str">
        <f>IF(A491="","",C491*'Loan Inputs'!$B$15)</f>
        <v/>
      </c>
      <c r="F491" s="2" t="str">
        <f t="shared" si="21"/>
        <v/>
      </c>
      <c r="G491" s="2" t="str">
        <f t="shared" si="22"/>
        <v/>
      </c>
      <c r="H491" s="2" t="str">
        <f>IF(A491="","",MIN('Loan Inputs'!$B$18,MAX(0,C491+E491-'Loan Inputs'!$B$17)))</f>
        <v/>
      </c>
    </row>
    <row r="492" spans="1:8" ht="22" customHeight="1">
      <c r="A492" s="1" t="str">
        <f>IF(AND('Loan Inputs'!$B$12,486&lt;=IF('Loan Inputs'!$B$12,'Loan Inputs'!$B$7,0)*'Loan Inputs'!$B$14+5*'Loan Inputs'!$B$14,ISNUMBER(G491),G491&gt;0),486,"")</f>
        <v/>
      </c>
      <c r="B492" s="4" t="str">
        <f>IF(A492="","",IF('Loan Inputs'!$B$14=12,DATE(YEAR('Loan Inputs'!$B$8),MONTH('Loan Inputs'!$B$8)+A492,DAY('Loan Inputs'!$B$8)),'Loan Inputs'!$B$8+A492*IF('Loan Inputs'!$B$14=26,14,7)))</f>
        <v/>
      </c>
      <c r="C492" s="2" t="str">
        <f t="shared" si="23"/>
        <v/>
      </c>
      <c r="D492" s="2" t="str">
        <f>IF(A492="","",MIN('Loan Inputs'!$B$17,C492+E492)+H492)</f>
        <v/>
      </c>
      <c r="E492" s="2" t="str">
        <f>IF(A492="","",C492*'Loan Inputs'!$B$15)</f>
        <v/>
      </c>
      <c r="F492" s="2" t="str">
        <f t="shared" si="21"/>
        <v/>
      </c>
      <c r="G492" s="2" t="str">
        <f t="shared" si="22"/>
        <v/>
      </c>
      <c r="H492" s="2" t="str">
        <f>IF(A492="","",MIN('Loan Inputs'!$B$18,MAX(0,C492+E492-'Loan Inputs'!$B$17)))</f>
        <v/>
      </c>
    </row>
    <row r="493" spans="1:8" ht="22" customHeight="1">
      <c r="A493" s="1" t="str">
        <f>IF(AND('Loan Inputs'!$B$12,487&lt;=IF('Loan Inputs'!$B$12,'Loan Inputs'!$B$7,0)*'Loan Inputs'!$B$14+5*'Loan Inputs'!$B$14,ISNUMBER(G492),G492&gt;0),487,"")</f>
        <v/>
      </c>
      <c r="B493" s="4" t="str">
        <f>IF(A493="","",IF('Loan Inputs'!$B$14=12,DATE(YEAR('Loan Inputs'!$B$8),MONTH('Loan Inputs'!$B$8)+A493,DAY('Loan Inputs'!$B$8)),'Loan Inputs'!$B$8+A493*IF('Loan Inputs'!$B$14=26,14,7)))</f>
        <v/>
      </c>
      <c r="C493" s="2" t="str">
        <f t="shared" si="23"/>
        <v/>
      </c>
      <c r="D493" s="2" t="str">
        <f>IF(A493="","",MIN('Loan Inputs'!$B$17,C493+E493)+H493)</f>
        <v/>
      </c>
      <c r="E493" s="2" t="str">
        <f>IF(A493="","",C493*'Loan Inputs'!$B$15)</f>
        <v/>
      </c>
      <c r="F493" s="2" t="str">
        <f t="shared" si="21"/>
        <v/>
      </c>
      <c r="G493" s="2" t="str">
        <f t="shared" si="22"/>
        <v/>
      </c>
      <c r="H493" s="2" t="str">
        <f>IF(A493="","",MIN('Loan Inputs'!$B$18,MAX(0,C493+E493-'Loan Inputs'!$B$17)))</f>
        <v/>
      </c>
    </row>
    <row r="494" spans="1:8" ht="22" customHeight="1">
      <c r="A494" s="1" t="str">
        <f>IF(AND('Loan Inputs'!$B$12,488&lt;=IF('Loan Inputs'!$B$12,'Loan Inputs'!$B$7,0)*'Loan Inputs'!$B$14+5*'Loan Inputs'!$B$14,ISNUMBER(G493),G493&gt;0),488,"")</f>
        <v/>
      </c>
      <c r="B494" s="4" t="str">
        <f>IF(A494="","",IF('Loan Inputs'!$B$14=12,DATE(YEAR('Loan Inputs'!$B$8),MONTH('Loan Inputs'!$B$8)+A494,DAY('Loan Inputs'!$B$8)),'Loan Inputs'!$B$8+A494*IF('Loan Inputs'!$B$14=26,14,7)))</f>
        <v/>
      </c>
      <c r="C494" s="2" t="str">
        <f t="shared" si="23"/>
        <v/>
      </c>
      <c r="D494" s="2" t="str">
        <f>IF(A494="","",MIN('Loan Inputs'!$B$17,C494+E494)+H494)</f>
        <v/>
      </c>
      <c r="E494" s="2" t="str">
        <f>IF(A494="","",C494*'Loan Inputs'!$B$15)</f>
        <v/>
      </c>
      <c r="F494" s="2" t="str">
        <f t="shared" si="21"/>
        <v/>
      </c>
      <c r="G494" s="2" t="str">
        <f t="shared" si="22"/>
        <v/>
      </c>
      <c r="H494" s="2" t="str">
        <f>IF(A494="","",MIN('Loan Inputs'!$B$18,MAX(0,C494+E494-'Loan Inputs'!$B$17)))</f>
        <v/>
      </c>
    </row>
    <row r="495" spans="1:8" ht="22" customHeight="1">
      <c r="A495" s="1" t="str">
        <f>IF(AND('Loan Inputs'!$B$12,489&lt;=IF('Loan Inputs'!$B$12,'Loan Inputs'!$B$7,0)*'Loan Inputs'!$B$14+5*'Loan Inputs'!$B$14,ISNUMBER(G494),G494&gt;0),489,"")</f>
        <v/>
      </c>
      <c r="B495" s="4" t="str">
        <f>IF(A495="","",IF('Loan Inputs'!$B$14=12,DATE(YEAR('Loan Inputs'!$B$8),MONTH('Loan Inputs'!$B$8)+A495,DAY('Loan Inputs'!$B$8)),'Loan Inputs'!$B$8+A495*IF('Loan Inputs'!$B$14=26,14,7)))</f>
        <v/>
      </c>
      <c r="C495" s="2" t="str">
        <f t="shared" si="23"/>
        <v/>
      </c>
      <c r="D495" s="2" t="str">
        <f>IF(A495="","",MIN('Loan Inputs'!$B$17,C495+E495)+H495)</f>
        <v/>
      </c>
      <c r="E495" s="2" t="str">
        <f>IF(A495="","",C495*'Loan Inputs'!$B$15)</f>
        <v/>
      </c>
      <c r="F495" s="2" t="str">
        <f t="shared" si="21"/>
        <v/>
      </c>
      <c r="G495" s="2" t="str">
        <f t="shared" si="22"/>
        <v/>
      </c>
      <c r="H495" s="2" t="str">
        <f>IF(A495="","",MIN('Loan Inputs'!$B$18,MAX(0,C495+E495-'Loan Inputs'!$B$17)))</f>
        <v/>
      </c>
    </row>
    <row r="496" spans="1:8" ht="22" customHeight="1">
      <c r="A496" s="1" t="str">
        <f>IF(AND('Loan Inputs'!$B$12,490&lt;=IF('Loan Inputs'!$B$12,'Loan Inputs'!$B$7,0)*'Loan Inputs'!$B$14+5*'Loan Inputs'!$B$14,ISNUMBER(G495),G495&gt;0),490,"")</f>
        <v/>
      </c>
      <c r="B496" s="4" t="str">
        <f>IF(A496="","",IF('Loan Inputs'!$B$14=12,DATE(YEAR('Loan Inputs'!$B$8),MONTH('Loan Inputs'!$B$8)+A496,DAY('Loan Inputs'!$B$8)),'Loan Inputs'!$B$8+A496*IF('Loan Inputs'!$B$14=26,14,7)))</f>
        <v/>
      </c>
      <c r="C496" s="2" t="str">
        <f t="shared" si="23"/>
        <v/>
      </c>
      <c r="D496" s="2" t="str">
        <f>IF(A496="","",MIN('Loan Inputs'!$B$17,C496+E496)+H496)</f>
        <v/>
      </c>
      <c r="E496" s="2" t="str">
        <f>IF(A496="","",C496*'Loan Inputs'!$B$15)</f>
        <v/>
      </c>
      <c r="F496" s="2" t="str">
        <f t="shared" si="21"/>
        <v/>
      </c>
      <c r="G496" s="2" t="str">
        <f t="shared" si="22"/>
        <v/>
      </c>
      <c r="H496" s="2" t="str">
        <f>IF(A496="","",MIN('Loan Inputs'!$B$18,MAX(0,C496+E496-'Loan Inputs'!$B$17)))</f>
        <v/>
      </c>
    </row>
    <row r="497" spans="1:8" ht="22" customHeight="1">
      <c r="A497" s="1" t="str">
        <f>IF(AND('Loan Inputs'!$B$12,491&lt;=IF('Loan Inputs'!$B$12,'Loan Inputs'!$B$7,0)*'Loan Inputs'!$B$14+5*'Loan Inputs'!$B$14,ISNUMBER(G496),G496&gt;0),491,"")</f>
        <v/>
      </c>
      <c r="B497" s="4" t="str">
        <f>IF(A497="","",IF('Loan Inputs'!$B$14=12,DATE(YEAR('Loan Inputs'!$B$8),MONTH('Loan Inputs'!$B$8)+A497,DAY('Loan Inputs'!$B$8)),'Loan Inputs'!$B$8+A497*IF('Loan Inputs'!$B$14=26,14,7)))</f>
        <v/>
      </c>
      <c r="C497" s="2" t="str">
        <f t="shared" si="23"/>
        <v/>
      </c>
      <c r="D497" s="2" t="str">
        <f>IF(A497="","",MIN('Loan Inputs'!$B$17,C497+E497)+H497)</f>
        <v/>
      </c>
      <c r="E497" s="2" t="str">
        <f>IF(A497="","",C497*'Loan Inputs'!$B$15)</f>
        <v/>
      </c>
      <c r="F497" s="2" t="str">
        <f t="shared" si="21"/>
        <v/>
      </c>
      <c r="G497" s="2" t="str">
        <f t="shared" si="22"/>
        <v/>
      </c>
      <c r="H497" s="2" t="str">
        <f>IF(A497="","",MIN('Loan Inputs'!$B$18,MAX(0,C497+E497-'Loan Inputs'!$B$17)))</f>
        <v/>
      </c>
    </row>
    <row r="498" spans="1:8" ht="22" customHeight="1">
      <c r="A498" s="1" t="str">
        <f>IF(AND('Loan Inputs'!$B$12,492&lt;=IF('Loan Inputs'!$B$12,'Loan Inputs'!$B$7,0)*'Loan Inputs'!$B$14+5*'Loan Inputs'!$B$14,ISNUMBER(G497),G497&gt;0),492,"")</f>
        <v/>
      </c>
      <c r="B498" s="4" t="str">
        <f>IF(A498="","",IF('Loan Inputs'!$B$14=12,DATE(YEAR('Loan Inputs'!$B$8),MONTH('Loan Inputs'!$B$8)+A498,DAY('Loan Inputs'!$B$8)),'Loan Inputs'!$B$8+A498*IF('Loan Inputs'!$B$14=26,14,7)))</f>
        <v/>
      </c>
      <c r="C498" s="2" t="str">
        <f t="shared" si="23"/>
        <v/>
      </c>
      <c r="D498" s="2" t="str">
        <f>IF(A498="","",MIN('Loan Inputs'!$B$17,C498+E498)+H498)</f>
        <v/>
      </c>
      <c r="E498" s="2" t="str">
        <f>IF(A498="","",C498*'Loan Inputs'!$B$15)</f>
        <v/>
      </c>
      <c r="F498" s="2" t="str">
        <f t="shared" si="21"/>
        <v/>
      </c>
      <c r="G498" s="2" t="str">
        <f t="shared" si="22"/>
        <v/>
      </c>
      <c r="H498" s="2" t="str">
        <f>IF(A498="","",MIN('Loan Inputs'!$B$18,MAX(0,C498+E498-'Loan Inputs'!$B$17)))</f>
        <v/>
      </c>
    </row>
    <row r="499" spans="1:8" ht="22" customHeight="1">
      <c r="A499" s="1" t="str">
        <f>IF(AND('Loan Inputs'!$B$12,493&lt;=IF('Loan Inputs'!$B$12,'Loan Inputs'!$B$7,0)*'Loan Inputs'!$B$14+5*'Loan Inputs'!$B$14,ISNUMBER(G498),G498&gt;0),493,"")</f>
        <v/>
      </c>
      <c r="B499" s="4" t="str">
        <f>IF(A499="","",IF('Loan Inputs'!$B$14=12,DATE(YEAR('Loan Inputs'!$B$8),MONTH('Loan Inputs'!$B$8)+A499,DAY('Loan Inputs'!$B$8)),'Loan Inputs'!$B$8+A499*IF('Loan Inputs'!$B$14=26,14,7)))</f>
        <v/>
      </c>
      <c r="C499" s="2" t="str">
        <f t="shared" si="23"/>
        <v/>
      </c>
      <c r="D499" s="2" t="str">
        <f>IF(A499="","",MIN('Loan Inputs'!$B$17,C499+E499)+H499)</f>
        <v/>
      </c>
      <c r="E499" s="2" t="str">
        <f>IF(A499="","",C499*'Loan Inputs'!$B$15)</f>
        <v/>
      </c>
      <c r="F499" s="2" t="str">
        <f t="shared" si="21"/>
        <v/>
      </c>
      <c r="G499" s="2" t="str">
        <f t="shared" si="22"/>
        <v/>
      </c>
      <c r="H499" s="2" t="str">
        <f>IF(A499="","",MIN('Loan Inputs'!$B$18,MAX(0,C499+E499-'Loan Inputs'!$B$17)))</f>
        <v/>
      </c>
    </row>
    <row r="500" spans="1:8" ht="22" customHeight="1">
      <c r="A500" s="1" t="str">
        <f>IF(AND('Loan Inputs'!$B$12,494&lt;=IF('Loan Inputs'!$B$12,'Loan Inputs'!$B$7,0)*'Loan Inputs'!$B$14+5*'Loan Inputs'!$B$14,ISNUMBER(G499),G499&gt;0),494,"")</f>
        <v/>
      </c>
      <c r="B500" s="4" t="str">
        <f>IF(A500="","",IF('Loan Inputs'!$B$14=12,DATE(YEAR('Loan Inputs'!$B$8),MONTH('Loan Inputs'!$B$8)+A500,DAY('Loan Inputs'!$B$8)),'Loan Inputs'!$B$8+A500*IF('Loan Inputs'!$B$14=26,14,7)))</f>
        <v/>
      </c>
      <c r="C500" s="2" t="str">
        <f t="shared" si="23"/>
        <v/>
      </c>
      <c r="D500" s="2" t="str">
        <f>IF(A500="","",MIN('Loan Inputs'!$B$17,C500+E500)+H500)</f>
        <v/>
      </c>
      <c r="E500" s="2" t="str">
        <f>IF(A500="","",C500*'Loan Inputs'!$B$15)</f>
        <v/>
      </c>
      <c r="F500" s="2" t="str">
        <f t="shared" si="21"/>
        <v/>
      </c>
      <c r="G500" s="2" t="str">
        <f t="shared" si="22"/>
        <v/>
      </c>
      <c r="H500" s="2" t="str">
        <f>IF(A500="","",MIN('Loan Inputs'!$B$18,MAX(0,C500+E500-'Loan Inputs'!$B$17)))</f>
        <v/>
      </c>
    </row>
    <row r="501" spans="1:8" ht="22" customHeight="1">
      <c r="A501" s="1" t="str">
        <f>IF(AND('Loan Inputs'!$B$12,495&lt;=IF('Loan Inputs'!$B$12,'Loan Inputs'!$B$7,0)*'Loan Inputs'!$B$14+5*'Loan Inputs'!$B$14,ISNUMBER(G500),G500&gt;0),495,"")</f>
        <v/>
      </c>
      <c r="B501" s="4" t="str">
        <f>IF(A501="","",IF('Loan Inputs'!$B$14=12,DATE(YEAR('Loan Inputs'!$B$8),MONTH('Loan Inputs'!$B$8)+A501,DAY('Loan Inputs'!$B$8)),'Loan Inputs'!$B$8+A501*IF('Loan Inputs'!$B$14=26,14,7)))</f>
        <v/>
      </c>
      <c r="C501" s="2" t="str">
        <f t="shared" si="23"/>
        <v/>
      </c>
      <c r="D501" s="2" t="str">
        <f>IF(A501="","",MIN('Loan Inputs'!$B$17,C501+E501)+H501)</f>
        <v/>
      </c>
      <c r="E501" s="2" t="str">
        <f>IF(A501="","",C501*'Loan Inputs'!$B$15)</f>
        <v/>
      </c>
      <c r="F501" s="2" t="str">
        <f t="shared" si="21"/>
        <v/>
      </c>
      <c r="G501" s="2" t="str">
        <f t="shared" si="22"/>
        <v/>
      </c>
      <c r="H501" s="2" t="str">
        <f>IF(A501="","",MIN('Loan Inputs'!$B$18,MAX(0,C501+E501-'Loan Inputs'!$B$17)))</f>
        <v/>
      </c>
    </row>
    <row r="502" spans="1:8" ht="22" customHeight="1">
      <c r="A502" s="1" t="str">
        <f>IF(AND('Loan Inputs'!$B$12,496&lt;=IF('Loan Inputs'!$B$12,'Loan Inputs'!$B$7,0)*'Loan Inputs'!$B$14+5*'Loan Inputs'!$B$14,ISNUMBER(G501),G501&gt;0),496,"")</f>
        <v/>
      </c>
      <c r="B502" s="4" t="str">
        <f>IF(A502="","",IF('Loan Inputs'!$B$14=12,DATE(YEAR('Loan Inputs'!$B$8),MONTH('Loan Inputs'!$B$8)+A502,DAY('Loan Inputs'!$B$8)),'Loan Inputs'!$B$8+A502*IF('Loan Inputs'!$B$14=26,14,7)))</f>
        <v/>
      </c>
      <c r="C502" s="2" t="str">
        <f t="shared" si="23"/>
        <v/>
      </c>
      <c r="D502" s="2" t="str">
        <f>IF(A502="","",MIN('Loan Inputs'!$B$17,C502+E502)+H502)</f>
        <v/>
      </c>
      <c r="E502" s="2" t="str">
        <f>IF(A502="","",C502*'Loan Inputs'!$B$15)</f>
        <v/>
      </c>
      <c r="F502" s="2" t="str">
        <f t="shared" si="21"/>
        <v/>
      </c>
      <c r="G502" s="2" t="str">
        <f t="shared" si="22"/>
        <v/>
      </c>
      <c r="H502" s="2" t="str">
        <f>IF(A502="","",MIN('Loan Inputs'!$B$18,MAX(0,C502+E502-'Loan Inputs'!$B$17)))</f>
        <v/>
      </c>
    </row>
    <row r="503" spans="1:8" ht="22" customHeight="1">
      <c r="A503" s="1" t="str">
        <f>IF(AND('Loan Inputs'!$B$12,497&lt;=IF('Loan Inputs'!$B$12,'Loan Inputs'!$B$7,0)*'Loan Inputs'!$B$14+5*'Loan Inputs'!$B$14,ISNUMBER(G502),G502&gt;0),497,"")</f>
        <v/>
      </c>
      <c r="B503" s="4" t="str">
        <f>IF(A503="","",IF('Loan Inputs'!$B$14=12,DATE(YEAR('Loan Inputs'!$B$8),MONTH('Loan Inputs'!$B$8)+A503,DAY('Loan Inputs'!$B$8)),'Loan Inputs'!$B$8+A503*IF('Loan Inputs'!$B$14=26,14,7)))</f>
        <v/>
      </c>
      <c r="C503" s="2" t="str">
        <f t="shared" si="23"/>
        <v/>
      </c>
      <c r="D503" s="2" t="str">
        <f>IF(A503="","",MIN('Loan Inputs'!$B$17,C503+E503)+H503)</f>
        <v/>
      </c>
      <c r="E503" s="2" t="str">
        <f>IF(A503="","",C503*'Loan Inputs'!$B$15)</f>
        <v/>
      </c>
      <c r="F503" s="2" t="str">
        <f t="shared" si="21"/>
        <v/>
      </c>
      <c r="G503" s="2" t="str">
        <f t="shared" si="22"/>
        <v/>
      </c>
      <c r="H503" s="2" t="str">
        <f>IF(A503="","",MIN('Loan Inputs'!$B$18,MAX(0,C503+E503-'Loan Inputs'!$B$17)))</f>
        <v/>
      </c>
    </row>
    <row r="504" spans="1:8" ht="22" customHeight="1">
      <c r="A504" s="1" t="str">
        <f>IF(AND('Loan Inputs'!$B$12,498&lt;=IF('Loan Inputs'!$B$12,'Loan Inputs'!$B$7,0)*'Loan Inputs'!$B$14+5*'Loan Inputs'!$B$14,ISNUMBER(G503),G503&gt;0),498,"")</f>
        <v/>
      </c>
      <c r="B504" s="4" t="str">
        <f>IF(A504="","",IF('Loan Inputs'!$B$14=12,DATE(YEAR('Loan Inputs'!$B$8),MONTH('Loan Inputs'!$B$8)+A504,DAY('Loan Inputs'!$B$8)),'Loan Inputs'!$B$8+A504*IF('Loan Inputs'!$B$14=26,14,7)))</f>
        <v/>
      </c>
      <c r="C504" s="2" t="str">
        <f t="shared" si="23"/>
        <v/>
      </c>
      <c r="D504" s="2" t="str">
        <f>IF(A504="","",MIN('Loan Inputs'!$B$17,C504+E504)+H504)</f>
        <v/>
      </c>
      <c r="E504" s="2" t="str">
        <f>IF(A504="","",C504*'Loan Inputs'!$B$15)</f>
        <v/>
      </c>
      <c r="F504" s="2" t="str">
        <f t="shared" si="21"/>
        <v/>
      </c>
      <c r="G504" s="2" t="str">
        <f t="shared" si="22"/>
        <v/>
      </c>
      <c r="H504" s="2" t="str">
        <f>IF(A504="","",MIN('Loan Inputs'!$B$18,MAX(0,C504+E504-'Loan Inputs'!$B$17)))</f>
        <v/>
      </c>
    </row>
    <row r="505" spans="1:8" ht="22" customHeight="1">
      <c r="A505" s="1" t="str">
        <f>IF(AND('Loan Inputs'!$B$12,499&lt;=IF('Loan Inputs'!$B$12,'Loan Inputs'!$B$7,0)*'Loan Inputs'!$B$14+5*'Loan Inputs'!$B$14,ISNUMBER(G504),G504&gt;0),499,"")</f>
        <v/>
      </c>
      <c r="B505" s="4" t="str">
        <f>IF(A505="","",IF('Loan Inputs'!$B$14=12,DATE(YEAR('Loan Inputs'!$B$8),MONTH('Loan Inputs'!$B$8)+A505,DAY('Loan Inputs'!$B$8)),'Loan Inputs'!$B$8+A505*IF('Loan Inputs'!$B$14=26,14,7)))</f>
        <v/>
      </c>
      <c r="C505" s="2" t="str">
        <f t="shared" si="23"/>
        <v/>
      </c>
      <c r="D505" s="2" t="str">
        <f>IF(A505="","",MIN('Loan Inputs'!$B$17,C505+E505)+H505)</f>
        <v/>
      </c>
      <c r="E505" s="2" t="str">
        <f>IF(A505="","",C505*'Loan Inputs'!$B$15)</f>
        <v/>
      </c>
      <c r="F505" s="2" t="str">
        <f t="shared" si="21"/>
        <v/>
      </c>
      <c r="G505" s="2" t="str">
        <f t="shared" si="22"/>
        <v/>
      </c>
      <c r="H505" s="2" t="str">
        <f>IF(A505="","",MIN('Loan Inputs'!$B$18,MAX(0,C505+E505-'Loan Inputs'!$B$17)))</f>
        <v/>
      </c>
    </row>
    <row r="506" spans="1:8" ht="22" customHeight="1">
      <c r="A506" s="1" t="str">
        <f>IF(AND('Loan Inputs'!$B$12,500&lt;=IF('Loan Inputs'!$B$12,'Loan Inputs'!$B$7,0)*'Loan Inputs'!$B$14+5*'Loan Inputs'!$B$14,ISNUMBER(G505),G505&gt;0),500,"")</f>
        <v/>
      </c>
      <c r="B506" s="4" t="str">
        <f>IF(A506="","",IF('Loan Inputs'!$B$14=12,DATE(YEAR('Loan Inputs'!$B$8),MONTH('Loan Inputs'!$B$8)+A506,DAY('Loan Inputs'!$B$8)),'Loan Inputs'!$B$8+A506*IF('Loan Inputs'!$B$14=26,14,7)))</f>
        <v/>
      </c>
      <c r="C506" s="2" t="str">
        <f t="shared" si="23"/>
        <v/>
      </c>
      <c r="D506" s="2" t="str">
        <f>IF(A506="","",MIN('Loan Inputs'!$B$17,C506+E506)+H506)</f>
        <v/>
      </c>
      <c r="E506" s="2" t="str">
        <f>IF(A506="","",C506*'Loan Inputs'!$B$15)</f>
        <v/>
      </c>
      <c r="F506" s="2" t="str">
        <f t="shared" si="21"/>
        <v/>
      </c>
      <c r="G506" s="2" t="str">
        <f t="shared" si="22"/>
        <v/>
      </c>
      <c r="H506" s="2" t="str">
        <f>IF(A506="","",MIN('Loan Inputs'!$B$18,MAX(0,C506+E506-'Loan Inputs'!$B$17)))</f>
        <v/>
      </c>
    </row>
    <row r="507" spans="1:8" ht="22" customHeight="1">
      <c r="A507" s="1" t="str">
        <f>IF(AND('Loan Inputs'!$B$12,501&lt;=IF('Loan Inputs'!$B$12,'Loan Inputs'!$B$7,0)*'Loan Inputs'!$B$14+5*'Loan Inputs'!$B$14,ISNUMBER(G506),G506&gt;0),501,"")</f>
        <v/>
      </c>
      <c r="B507" s="4" t="str">
        <f>IF(A507="","",IF('Loan Inputs'!$B$14=12,DATE(YEAR('Loan Inputs'!$B$8),MONTH('Loan Inputs'!$B$8)+A507,DAY('Loan Inputs'!$B$8)),'Loan Inputs'!$B$8+A507*IF('Loan Inputs'!$B$14=26,14,7)))</f>
        <v/>
      </c>
      <c r="C507" s="2" t="str">
        <f t="shared" si="23"/>
        <v/>
      </c>
      <c r="D507" s="2" t="str">
        <f>IF(A507="","",MIN('Loan Inputs'!$B$17,C507+E507)+H507)</f>
        <v/>
      </c>
      <c r="E507" s="2" t="str">
        <f>IF(A507="","",C507*'Loan Inputs'!$B$15)</f>
        <v/>
      </c>
      <c r="F507" s="2" t="str">
        <f t="shared" si="21"/>
        <v/>
      </c>
      <c r="G507" s="2" t="str">
        <f t="shared" si="22"/>
        <v/>
      </c>
      <c r="H507" s="2" t="str">
        <f>IF(A507="","",MIN('Loan Inputs'!$B$18,MAX(0,C507+E507-'Loan Inputs'!$B$17)))</f>
        <v/>
      </c>
    </row>
    <row r="508" spans="1:8" ht="22" customHeight="1">
      <c r="A508" s="1" t="str">
        <f>IF(AND('Loan Inputs'!$B$12,502&lt;=IF('Loan Inputs'!$B$12,'Loan Inputs'!$B$7,0)*'Loan Inputs'!$B$14+5*'Loan Inputs'!$B$14,ISNUMBER(G507),G507&gt;0),502,"")</f>
        <v/>
      </c>
      <c r="B508" s="4" t="str">
        <f>IF(A508="","",IF('Loan Inputs'!$B$14=12,DATE(YEAR('Loan Inputs'!$B$8),MONTH('Loan Inputs'!$B$8)+A508,DAY('Loan Inputs'!$B$8)),'Loan Inputs'!$B$8+A508*IF('Loan Inputs'!$B$14=26,14,7)))</f>
        <v/>
      </c>
      <c r="C508" s="2" t="str">
        <f t="shared" si="23"/>
        <v/>
      </c>
      <c r="D508" s="2" t="str">
        <f>IF(A508="","",MIN('Loan Inputs'!$B$17,C508+E508)+H508)</f>
        <v/>
      </c>
      <c r="E508" s="2" t="str">
        <f>IF(A508="","",C508*'Loan Inputs'!$B$15)</f>
        <v/>
      </c>
      <c r="F508" s="2" t="str">
        <f t="shared" si="21"/>
        <v/>
      </c>
      <c r="G508" s="2" t="str">
        <f t="shared" si="22"/>
        <v/>
      </c>
      <c r="H508" s="2" t="str">
        <f>IF(A508="","",MIN('Loan Inputs'!$B$18,MAX(0,C508+E508-'Loan Inputs'!$B$17)))</f>
        <v/>
      </c>
    </row>
    <row r="509" spans="1:8" ht="22" customHeight="1">
      <c r="A509" s="1" t="str">
        <f>IF(AND('Loan Inputs'!$B$12,503&lt;=IF('Loan Inputs'!$B$12,'Loan Inputs'!$B$7,0)*'Loan Inputs'!$B$14+5*'Loan Inputs'!$B$14,ISNUMBER(G508),G508&gt;0),503,"")</f>
        <v/>
      </c>
      <c r="B509" s="4" t="str">
        <f>IF(A509="","",IF('Loan Inputs'!$B$14=12,DATE(YEAR('Loan Inputs'!$B$8),MONTH('Loan Inputs'!$B$8)+A509,DAY('Loan Inputs'!$B$8)),'Loan Inputs'!$B$8+A509*IF('Loan Inputs'!$B$14=26,14,7)))</f>
        <v/>
      </c>
      <c r="C509" s="2" t="str">
        <f t="shared" si="23"/>
        <v/>
      </c>
      <c r="D509" s="2" t="str">
        <f>IF(A509="","",MIN('Loan Inputs'!$B$17,C509+E509)+H509)</f>
        <v/>
      </c>
      <c r="E509" s="2" t="str">
        <f>IF(A509="","",C509*'Loan Inputs'!$B$15)</f>
        <v/>
      </c>
      <c r="F509" s="2" t="str">
        <f t="shared" si="21"/>
        <v/>
      </c>
      <c r="G509" s="2" t="str">
        <f t="shared" si="22"/>
        <v/>
      </c>
      <c r="H509" s="2" t="str">
        <f>IF(A509="","",MIN('Loan Inputs'!$B$18,MAX(0,C509+E509-'Loan Inputs'!$B$17)))</f>
        <v/>
      </c>
    </row>
    <row r="510" spans="1:8" ht="22" customHeight="1">
      <c r="A510" s="1" t="str">
        <f>IF(AND('Loan Inputs'!$B$12,504&lt;=IF('Loan Inputs'!$B$12,'Loan Inputs'!$B$7,0)*'Loan Inputs'!$B$14+5*'Loan Inputs'!$B$14,ISNUMBER(G509),G509&gt;0),504,"")</f>
        <v/>
      </c>
      <c r="B510" s="4" t="str">
        <f>IF(A510="","",IF('Loan Inputs'!$B$14=12,DATE(YEAR('Loan Inputs'!$B$8),MONTH('Loan Inputs'!$B$8)+A510,DAY('Loan Inputs'!$B$8)),'Loan Inputs'!$B$8+A510*IF('Loan Inputs'!$B$14=26,14,7)))</f>
        <v/>
      </c>
      <c r="C510" s="2" t="str">
        <f t="shared" si="23"/>
        <v/>
      </c>
      <c r="D510" s="2" t="str">
        <f>IF(A510="","",MIN('Loan Inputs'!$B$17,C510+E510)+H510)</f>
        <v/>
      </c>
      <c r="E510" s="2" t="str">
        <f>IF(A510="","",C510*'Loan Inputs'!$B$15)</f>
        <v/>
      </c>
      <c r="F510" s="2" t="str">
        <f t="shared" si="21"/>
        <v/>
      </c>
      <c r="G510" s="2" t="str">
        <f t="shared" si="22"/>
        <v/>
      </c>
      <c r="H510" s="2" t="str">
        <f>IF(A510="","",MIN('Loan Inputs'!$B$18,MAX(0,C510+E510-'Loan Inputs'!$B$17)))</f>
        <v/>
      </c>
    </row>
    <row r="511" spans="1:8" ht="22" customHeight="1">
      <c r="A511" s="1" t="str">
        <f>IF(AND('Loan Inputs'!$B$12,505&lt;=IF('Loan Inputs'!$B$12,'Loan Inputs'!$B$7,0)*'Loan Inputs'!$B$14+5*'Loan Inputs'!$B$14,ISNUMBER(G510),G510&gt;0),505,"")</f>
        <v/>
      </c>
      <c r="B511" s="4" t="str">
        <f>IF(A511="","",IF('Loan Inputs'!$B$14=12,DATE(YEAR('Loan Inputs'!$B$8),MONTH('Loan Inputs'!$B$8)+A511,DAY('Loan Inputs'!$B$8)),'Loan Inputs'!$B$8+A511*IF('Loan Inputs'!$B$14=26,14,7)))</f>
        <v/>
      </c>
      <c r="C511" s="2" t="str">
        <f t="shared" si="23"/>
        <v/>
      </c>
      <c r="D511" s="2" t="str">
        <f>IF(A511="","",MIN('Loan Inputs'!$B$17,C511+E511)+H511)</f>
        <v/>
      </c>
      <c r="E511" s="2" t="str">
        <f>IF(A511="","",C511*'Loan Inputs'!$B$15)</f>
        <v/>
      </c>
      <c r="F511" s="2" t="str">
        <f t="shared" si="21"/>
        <v/>
      </c>
      <c r="G511" s="2" t="str">
        <f t="shared" si="22"/>
        <v/>
      </c>
      <c r="H511" s="2" t="str">
        <f>IF(A511="","",MIN('Loan Inputs'!$B$18,MAX(0,C511+E511-'Loan Inputs'!$B$17)))</f>
        <v/>
      </c>
    </row>
    <row r="512" spans="1:8" ht="22" customHeight="1">
      <c r="A512" s="1" t="str">
        <f>IF(AND('Loan Inputs'!$B$12,506&lt;=IF('Loan Inputs'!$B$12,'Loan Inputs'!$B$7,0)*'Loan Inputs'!$B$14+5*'Loan Inputs'!$B$14,ISNUMBER(G511),G511&gt;0),506,"")</f>
        <v/>
      </c>
      <c r="B512" s="4" t="str">
        <f>IF(A512="","",IF('Loan Inputs'!$B$14=12,DATE(YEAR('Loan Inputs'!$B$8),MONTH('Loan Inputs'!$B$8)+A512,DAY('Loan Inputs'!$B$8)),'Loan Inputs'!$B$8+A512*IF('Loan Inputs'!$B$14=26,14,7)))</f>
        <v/>
      </c>
      <c r="C512" s="2" t="str">
        <f t="shared" si="23"/>
        <v/>
      </c>
      <c r="D512" s="2" t="str">
        <f>IF(A512="","",MIN('Loan Inputs'!$B$17,C512+E512)+H512)</f>
        <v/>
      </c>
      <c r="E512" s="2" t="str">
        <f>IF(A512="","",C512*'Loan Inputs'!$B$15)</f>
        <v/>
      </c>
      <c r="F512" s="2" t="str">
        <f t="shared" si="21"/>
        <v/>
      </c>
      <c r="G512" s="2" t="str">
        <f t="shared" si="22"/>
        <v/>
      </c>
      <c r="H512" s="2" t="str">
        <f>IF(A512="","",MIN('Loan Inputs'!$B$18,MAX(0,C512+E512-'Loan Inputs'!$B$17)))</f>
        <v/>
      </c>
    </row>
    <row r="513" spans="1:8" ht="22" customHeight="1">
      <c r="A513" s="1" t="str">
        <f>IF(AND('Loan Inputs'!$B$12,507&lt;=IF('Loan Inputs'!$B$12,'Loan Inputs'!$B$7,0)*'Loan Inputs'!$B$14+5*'Loan Inputs'!$B$14,ISNUMBER(G512),G512&gt;0),507,"")</f>
        <v/>
      </c>
      <c r="B513" s="4" t="str">
        <f>IF(A513="","",IF('Loan Inputs'!$B$14=12,DATE(YEAR('Loan Inputs'!$B$8),MONTH('Loan Inputs'!$B$8)+A513,DAY('Loan Inputs'!$B$8)),'Loan Inputs'!$B$8+A513*IF('Loan Inputs'!$B$14=26,14,7)))</f>
        <v/>
      </c>
      <c r="C513" s="2" t="str">
        <f t="shared" si="23"/>
        <v/>
      </c>
      <c r="D513" s="2" t="str">
        <f>IF(A513="","",MIN('Loan Inputs'!$B$17,C513+E513)+H513)</f>
        <v/>
      </c>
      <c r="E513" s="2" t="str">
        <f>IF(A513="","",C513*'Loan Inputs'!$B$15)</f>
        <v/>
      </c>
      <c r="F513" s="2" t="str">
        <f t="shared" si="21"/>
        <v/>
      </c>
      <c r="G513" s="2" t="str">
        <f t="shared" si="22"/>
        <v/>
      </c>
      <c r="H513" s="2" t="str">
        <f>IF(A513="","",MIN('Loan Inputs'!$B$18,MAX(0,C513+E513-'Loan Inputs'!$B$17)))</f>
        <v/>
      </c>
    </row>
    <row r="514" spans="1:8" ht="22" customHeight="1">
      <c r="A514" s="1" t="str">
        <f>IF(AND('Loan Inputs'!$B$12,508&lt;=IF('Loan Inputs'!$B$12,'Loan Inputs'!$B$7,0)*'Loan Inputs'!$B$14+5*'Loan Inputs'!$B$14,ISNUMBER(G513),G513&gt;0),508,"")</f>
        <v/>
      </c>
      <c r="B514" s="4" t="str">
        <f>IF(A514="","",IF('Loan Inputs'!$B$14=12,DATE(YEAR('Loan Inputs'!$B$8),MONTH('Loan Inputs'!$B$8)+A514,DAY('Loan Inputs'!$B$8)),'Loan Inputs'!$B$8+A514*IF('Loan Inputs'!$B$14=26,14,7)))</f>
        <v/>
      </c>
      <c r="C514" s="2" t="str">
        <f t="shared" si="23"/>
        <v/>
      </c>
      <c r="D514" s="2" t="str">
        <f>IF(A514="","",MIN('Loan Inputs'!$B$17,C514+E514)+H514)</f>
        <v/>
      </c>
      <c r="E514" s="2" t="str">
        <f>IF(A514="","",C514*'Loan Inputs'!$B$15)</f>
        <v/>
      </c>
      <c r="F514" s="2" t="str">
        <f t="shared" si="21"/>
        <v/>
      </c>
      <c r="G514" s="2" t="str">
        <f t="shared" si="22"/>
        <v/>
      </c>
      <c r="H514" s="2" t="str">
        <f>IF(A514="","",MIN('Loan Inputs'!$B$18,MAX(0,C514+E514-'Loan Inputs'!$B$17)))</f>
        <v/>
      </c>
    </row>
    <row r="515" spans="1:8" ht="22" customHeight="1">
      <c r="A515" s="1" t="str">
        <f>IF(AND('Loan Inputs'!$B$12,509&lt;=IF('Loan Inputs'!$B$12,'Loan Inputs'!$B$7,0)*'Loan Inputs'!$B$14+5*'Loan Inputs'!$B$14,ISNUMBER(G514),G514&gt;0),509,"")</f>
        <v/>
      </c>
      <c r="B515" s="4" t="str">
        <f>IF(A515="","",IF('Loan Inputs'!$B$14=12,DATE(YEAR('Loan Inputs'!$B$8),MONTH('Loan Inputs'!$B$8)+A515,DAY('Loan Inputs'!$B$8)),'Loan Inputs'!$B$8+A515*IF('Loan Inputs'!$B$14=26,14,7)))</f>
        <v/>
      </c>
      <c r="C515" s="2" t="str">
        <f t="shared" si="23"/>
        <v/>
      </c>
      <c r="D515" s="2" t="str">
        <f>IF(A515="","",MIN('Loan Inputs'!$B$17,C515+E515)+H515)</f>
        <v/>
      </c>
      <c r="E515" s="2" t="str">
        <f>IF(A515="","",C515*'Loan Inputs'!$B$15)</f>
        <v/>
      </c>
      <c r="F515" s="2" t="str">
        <f t="shared" si="21"/>
        <v/>
      </c>
      <c r="G515" s="2" t="str">
        <f t="shared" si="22"/>
        <v/>
      </c>
      <c r="H515" s="2" t="str">
        <f>IF(A515="","",MIN('Loan Inputs'!$B$18,MAX(0,C515+E515-'Loan Inputs'!$B$17)))</f>
        <v/>
      </c>
    </row>
    <row r="516" spans="1:8" ht="22" customHeight="1">
      <c r="A516" s="1" t="str">
        <f>IF(AND('Loan Inputs'!$B$12,510&lt;=IF('Loan Inputs'!$B$12,'Loan Inputs'!$B$7,0)*'Loan Inputs'!$B$14+5*'Loan Inputs'!$B$14,ISNUMBER(G515),G515&gt;0),510,"")</f>
        <v/>
      </c>
      <c r="B516" s="4" t="str">
        <f>IF(A516="","",IF('Loan Inputs'!$B$14=12,DATE(YEAR('Loan Inputs'!$B$8),MONTH('Loan Inputs'!$B$8)+A516,DAY('Loan Inputs'!$B$8)),'Loan Inputs'!$B$8+A516*IF('Loan Inputs'!$B$14=26,14,7)))</f>
        <v/>
      </c>
      <c r="C516" s="2" t="str">
        <f t="shared" si="23"/>
        <v/>
      </c>
      <c r="D516" s="2" t="str">
        <f>IF(A516="","",MIN('Loan Inputs'!$B$17,C516+E516)+H516)</f>
        <v/>
      </c>
      <c r="E516" s="2" t="str">
        <f>IF(A516="","",C516*'Loan Inputs'!$B$15)</f>
        <v/>
      </c>
      <c r="F516" s="2" t="str">
        <f t="shared" si="21"/>
        <v/>
      </c>
      <c r="G516" s="2" t="str">
        <f t="shared" si="22"/>
        <v/>
      </c>
      <c r="H516" s="2" t="str">
        <f>IF(A516="","",MIN('Loan Inputs'!$B$18,MAX(0,C516+E516-'Loan Inputs'!$B$17)))</f>
        <v/>
      </c>
    </row>
    <row r="517" spans="1:8" ht="22" customHeight="1">
      <c r="A517" s="1" t="str">
        <f>IF(AND('Loan Inputs'!$B$12,511&lt;=IF('Loan Inputs'!$B$12,'Loan Inputs'!$B$7,0)*'Loan Inputs'!$B$14+5*'Loan Inputs'!$B$14,ISNUMBER(G516),G516&gt;0),511,"")</f>
        <v/>
      </c>
      <c r="B517" s="4" t="str">
        <f>IF(A517="","",IF('Loan Inputs'!$B$14=12,DATE(YEAR('Loan Inputs'!$B$8),MONTH('Loan Inputs'!$B$8)+A517,DAY('Loan Inputs'!$B$8)),'Loan Inputs'!$B$8+A517*IF('Loan Inputs'!$B$14=26,14,7)))</f>
        <v/>
      </c>
      <c r="C517" s="2" t="str">
        <f t="shared" si="23"/>
        <v/>
      </c>
      <c r="D517" s="2" t="str">
        <f>IF(A517="","",MIN('Loan Inputs'!$B$17,C517+E517)+H517)</f>
        <v/>
      </c>
      <c r="E517" s="2" t="str">
        <f>IF(A517="","",C517*'Loan Inputs'!$B$15)</f>
        <v/>
      </c>
      <c r="F517" s="2" t="str">
        <f t="shared" si="21"/>
        <v/>
      </c>
      <c r="G517" s="2" t="str">
        <f t="shared" si="22"/>
        <v/>
      </c>
      <c r="H517" s="2" t="str">
        <f>IF(A517="","",MIN('Loan Inputs'!$B$18,MAX(0,C517+E517-'Loan Inputs'!$B$17)))</f>
        <v/>
      </c>
    </row>
    <row r="518" spans="1:8" ht="22" customHeight="1">
      <c r="A518" s="1" t="str">
        <f>IF(AND('Loan Inputs'!$B$12,512&lt;=IF('Loan Inputs'!$B$12,'Loan Inputs'!$B$7,0)*'Loan Inputs'!$B$14+5*'Loan Inputs'!$B$14,ISNUMBER(G517),G517&gt;0),512,"")</f>
        <v/>
      </c>
      <c r="B518" s="4" t="str">
        <f>IF(A518="","",IF('Loan Inputs'!$B$14=12,DATE(YEAR('Loan Inputs'!$B$8),MONTH('Loan Inputs'!$B$8)+A518,DAY('Loan Inputs'!$B$8)),'Loan Inputs'!$B$8+A518*IF('Loan Inputs'!$B$14=26,14,7)))</f>
        <v/>
      </c>
      <c r="C518" s="2" t="str">
        <f t="shared" si="23"/>
        <v/>
      </c>
      <c r="D518" s="2" t="str">
        <f>IF(A518="","",MIN('Loan Inputs'!$B$17,C518+E518)+H518)</f>
        <v/>
      </c>
      <c r="E518" s="2" t="str">
        <f>IF(A518="","",C518*'Loan Inputs'!$B$15)</f>
        <v/>
      </c>
      <c r="F518" s="2" t="str">
        <f t="shared" si="21"/>
        <v/>
      </c>
      <c r="G518" s="2" t="str">
        <f t="shared" si="22"/>
        <v/>
      </c>
      <c r="H518" s="2" t="str">
        <f>IF(A518="","",MIN('Loan Inputs'!$B$18,MAX(0,C518+E518-'Loan Inputs'!$B$17)))</f>
        <v/>
      </c>
    </row>
    <row r="519" spans="1:8" ht="22" customHeight="1">
      <c r="A519" s="1" t="str">
        <f>IF(AND('Loan Inputs'!$B$12,513&lt;=IF('Loan Inputs'!$B$12,'Loan Inputs'!$B$7,0)*'Loan Inputs'!$B$14+5*'Loan Inputs'!$B$14,ISNUMBER(G518),G518&gt;0),513,"")</f>
        <v/>
      </c>
      <c r="B519" s="4" t="str">
        <f>IF(A519="","",IF('Loan Inputs'!$B$14=12,DATE(YEAR('Loan Inputs'!$B$8),MONTH('Loan Inputs'!$B$8)+A519,DAY('Loan Inputs'!$B$8)),'Loan Inputs'!$B$8+A519*IF('Loan Inputs'!$B$14=26,14,7)))</f>
        <v/>
      </c>
      <c r="C519" s="2" t="str">
        <f t="shared" si="23"/>
        <v/>
      </c>
      <c r="D519" s="2" t="str">
        <f>IF(A519="","",MIN('Loan Inputs'!$B$17,C519+E519)+H519)</f>
        <v/>
      </c>
      <c r="E519" s="2" t="str">
        <f>IF(A519="","",C519*'Loan Inputs'!$B$15)</f>
        <v/>
      </c>
      <c r="F519" s="2" t="str">
        <f t="shared" ref="F519:F582" si="24">IF(A519="","",MIN(C519,D519-E519))</f>
        <v/>
      </c>
      <c r="G519" s="2" t="str">
        <f t="shared" ref="G519:G582" si="25">IF(A519="","",IF(C519-F519&lt;0.0000001,0,MAX(0,C519-F519)))</f>
        <v/>
      </c>
      <c r="H519" s="2" t="str">
        <f>IF(A519="","",MIN('Loan Inputs'!$B$18,MAX(0,C519+E519-'Loan Inputs'!$B$17)))</f>
        <v/>
      </c>
    </row>
    <row r="520" spans="1:8" ht="22" customHeight="1">
      <c r="A520" s="1" t="str">
        <f>IF(AND('Loan Inputs'!$B$12,514&lt;=IF('Loan Inputs'!$B$12,'Loan Inputs'!$B$7,0)*'Loan Inputs'!$B$14+5*'Loan Inputs'!$B$14,ISNUMBER(G519),G519&gt;0),514,"")</f>
        <v/>
      </c>
      <c r="B520" s="4" t="str">
        <f>IF(A520="","",IF('Loan Inputs'!$B$14=12,DATE(YEAR('Loan Inputs'!$B$8),MONTH('Loan Inputs'!$B$8)+A520,DAY('Loan Inputs'!$B$8)),'Loan Inputs'!$B$8+A520*IF('Loan Inputs'!$B$14=26,14,7)))</f>
        <v/>
      </c>
      <c r="C520" s="2" t="str">
        <f t="shared" ref="C520:C583" si="26">IF(A520="","",G519)</f>
        <v/>
      </c>
      <c r="D520" s="2" t="str">
        <f>IF(A520="","",MIN('Loan Inputs'!$B$17,C520+E520)+H520)</f>
        <v/>
      </c>
      <c r="E520" s="2" t="str">
        <f>IF(A520="","",C520*'Loan Inputs'!$B$15)</f>
        <v/>
      </c>
      <c r="F520" s="2" t="str">
        <f t="shared" si="24"/>
        <v/>
      </c>
      <c r="G520" s="2" t="str">
        <f t="shared" si="25"/>
        <v/>
      </c>
      <c r="H520" s="2" t="str">
        <f>IF(A520="","",MIN('Loan Inputs'!$B$18,MAX(0,C520+E520-'Loan Inputs'!$B$17)))</f>
        <v/>
      </c>
    </row>
    <row r="521" spans="1:8" ht="22" customHeight="1">
      <c r="A521" s="1" t="str">
        <f>IF(AND('Loan Inputs'!$B$12,515&lt;=IF('Loan Inputs'!$B$12,'Loan Inputs'!$B$7,0)*'Loan Inputs'!$B$14+5*'Loan Inputs'!$B$14,ISNUMBER(G520),G520&gt;0),515,"")</f>
        <v/>
      </c>
      <c r="B521" s="4" t="str">
        <f>IF(A521="","",IF('Loan Inputs'!$B$14=12,DATE(YEAR('Loan Inputs'!$B$8),MONTH('Loan Inputs'!$B$8)+A521,DAY('Loan Inputs'!$B$8)),'Loan Inputs'!$B$8+A521*IF('Loan Inputs'!$B$14=26,14,7)))</f>
        <v/>
      </c>
      <c r="C521" s="2" t="str">
        <f t="shared" si="26"/>
        <v/>
      </c>
      <c r="D521" s="2" t="str">
        <f>IF(A521="","",MIN('Loan Inputs'!$B$17,C521+E521)+H521)</f>
        <v/>
      </c>
      <c r="E521" s="2" t="str">
        <f>IF(A521="","",C521*'Loan Inputs'!$B$15)</f>
        <v/>
      </c>
      <c r="F521" s="2" t="str">
        <f t="shared" si="24"/>
        <v/>
      </c>
      <c r="G521" s="2" t="str">
        <f t="shared" si="25"/>
        <v/>
      </c>
      <c r="H521" s="2" t="str">
        <f>IF(A521="","",MIN('Loan Inputs'!$B$18,MAX(0,C521+E521-'Loan Inputs'!$B$17)))</f>
        <v/>
      </c>
    </row>
    <row r="522" spans="1:8" ht="22" customHeight="1">
      <c r="A522" s="1" t="str">
        <f>IF(AND('Loan Inputs'!$B$12,516&lt;=IF('Loan Inputs'!$B$12,'Loan Inputs'!$B$7,0)*'Loan Inputs'!$B$14+5*'Loan Inputs'!$B$14,ISNUMBER(G521),G521&gt;0),516,"")</f>
        <v/>
      </c>
      <c r="B522" s="4" t="str">
        <f>IF(A522="","",IF('Loan Inputs'!$B$14=12,DATE(YEAR('Loan Inputs'!$B$8),MONTH('Loan Inputs'!$B$8)+A522,DAY('Loan Inputs'!$B$8)),'Loan Inputs'!$B$8+A522*IF('Loan Inputs'!$B$14=26,14,7)))</f>
        <v/>
      </c>
      <c r="C522" s="2" t="str">
        <f t="shared" si="26"/>
        <v/>
      </c>
      <c r="D522" s="2" t="str">
        <f>IF(A522="","",MIN('Loan Inputs'!$B$17,C522+E522)+H522)</f>
        <v/>
      </c>
      <c r="E522" s="2" t="str">
        <f>IF(A522="","",C522*'Loan Inputs'!$B$15)</f>
        <v/>
      </c>
      <c r="F522" s="2" t="str">
        <f t="shared" si="24"/>
        <v/>
      </c>
      <c r="G522" s="2" t="str">
        <f t="shared" si="25"/>
        <v/>
      </c>
      <c r="H522" s="2" t="str">
        <f>IF(A522="","",MIN('Loan Inputs'!$B$18,MAX(0,C522+E522-'Loan Inputs'!$B$17)))</f>
        <v/>
      </c>
    </row>
    <row r="523" spans="1:8" ht="22" customHeight="1">
      <c r="A523" s="1" t="str">
        <f>IF(AND('Loan Inputs'!$B$12,517&lt;=IF('Loan Inputs'!$B$12,'Loan Inputs'!$B$7,0)*'Loan Inputs'!$B$14+5*'Loan Inputs'!$B$14,ISNUMBER(G522),G522&gt;0),517,"")</f>
        <v/>
      </c>
      <c r="B523" s="4" t="str">
        <f>IF(A523="","",IF('Loan Inputs'!$B$14=12,DATE(YEAR('Loan Inputs'!$B$8),MONTH('Loan Inputs'!$B$8)+A523,DAY('Loan Inputs'!$B$8)),'Loan Inputs'!$B$8+A523*IF('Loan Inputs'!$B$14=26,14,7)))</f>
        <v/>
      </c>
      <c r="C523" s="2" t="str">
        <f t="shared" si="26"/>
        <v/>
      </c>
      <c r="D523" s="2" t="str">
        <f>IF(A523="","",MIN('Loan Inputs'!$B$17,C523+E523)+H523)</f>
        <v/>
      </c>
      <c r="E523" s="2" t="str">
        <f>IF(A523="","",C523*'Loan Inputs'!$B$15)</f>
        <v/>
      </c>
      <c r="F523" s="2" t="str">
        <f t="shared" si="24"/>
        <v/>
      </c>
      <c r="G523" s="2" t="str">
        <f t="shared" si="25"/>
        <v/>
      </c>
      <c r="H523" s="2" t="str">
        <f>IF(A523="","",MIN('Loan Inputs'!$B$18,MAX(0,C523+E523-'Loan Inputs'!$B$17)))</f>
        <v/>
      </c>
    </row>
    <row r="524" spans="1:8" ht="22" customHeight="1">
      <c r="A524" s="1" t="str">
        <f>IF(AND('Loan Inputs'!$B$12,518&lt;=IF('Loan Inputs'!$B$12,'Loan Inputs'!$B$7,0)*'Loan Inputs'!$B$14+5*'Loan Inputs'!$B$14,ISNUMBER(G523),G523&gt;0),518,"")</f>
        <v/>
      </c>
      <c r="B524" s="4" t="str">
        <f>IF(A524="","",IF('Loan Inputs'!$B$14=12,DATE(YEAR('Loan Inputs'!$B$8),MONTH('Loan Inputs'!$B$8)+A524,DAY('Loan Inputs'!$B$8)),'Loan Inputs'!$B$8+A524*IF('Loan Inputs'!$B$14=26,14,7)))</f>
        <v/>
      </c>
      <c r="C524" s="2" t="str">
        <f t="shared" si="26"/>
        <v/>
      </c>
      <c r="D524" s="2" t="str">
        <f>IF(A524="","",MIN('Loan Inputs'!$B$17,C524+E524)+H524)</f>
        <v/>
      </c>
      <c r="E524" s="2" t="str">
        <f>IF(A524="","",C524*'Loan Inputs'!$B$15)</f>
        <v/>
      </c>
      <c r="F524" s="2" t="str">
        <f t="shared" si="24"/>
        <v/>
      </c>
      <c r="G524" s="2" t="str">
        <f t="shared" si="25"/>
        <v/>
      </c>
      <c r="H524" s="2" t="str">
        <f>IF(A524="","",MIN('Loan Inputs'!$B$18,MAX(0,C524+E524-'Loan Inputs'!$B$17)))</f>
        <v/>
      </c>
    </row>
    <row r="525" spans="1:8" ht="22" customHeight="1">
      <c r="A525" s="1" t="str">
        <f>IF(AND('Loan Inputs'!$B$12,519&lt;=IF('Loan Inputs'!$B$12,'Loan Inputs'!$B$7,0)*'Loan Inputs'!$B$14+5*'Loan Inputs'!$B$14,ISNUMBER(G524),G524&gt;0),519,"")</f>
        <v/>
      </c>
      <c r="B525" s="4" t="str">
        <f>IF(A525="","",IF('Loan Inputs'!$B$14=12,DATE(YEAR('Loan Inputs'!$B$8),MONTH('Loan Inputs'!$B$8)+A525,DAY('Loan Inputs'!$B$8)),'Loan Inputs'!$B$8+A525*IF('Loan Inputs'!$B$14=26,14,7)))</f>
        <v/>
      </c>
      <c r="C525" s="2" t="str">
        <f t="shared" si="26"/>
        <v/>
      </c>
      <c r="D525" s="2" t="str">
        <f>IF(A525="","",MIN('Loan Inputs'!$B$17,C525+E525)+H525)</f>
        <v/>
      </c>
      <c r="E525" s="2" t="str">
        <f>IF(A525="","",C525*'Loan Inputs'!$B$15)</f>
        <v/>
      </c>
      <c r="F525" s="2" t="str">
        <f t="shared" si="24"/>
        <v/>
      </c>
      <c r="G525" s="2" t="str">
        <f t="shared" si="25"/>
        <v/>
      </c>
      <c r="H525" s="2" t="str">
        <f>IF(A525="","",MIN('Loan Inputs'!$B$18,MAX(0,C525+E525-'Loan Inputs'!$B$17)))</f>
        <v/>
      </c>
    </row>
    <row r="526" spans="1:8" ht="22" customHeight="1">
      <c r="A526" s="1" t="str">
        <f>IF(AND('Loan Inputs'!$B$12,520&lt;=IF('Loan Inputs'!$B$12,'Loan Inputs'!$B$7,0)*'Loan Inputs'!$B$14+5*'Loan Inputs'!$B$14,ISNUMBER(G525),G525&gt;0),520,"")</f>
        <v/>
      </c>
      <c r="B526" s="4" t="str">
        <f>IF(A526="","",IF('Loan Inputs'!$B$14=12,DATE(YEAR('Loan Inputs'!$B$8),MONTH('Loan Inputs'!$B$8)+A526,DAY('Loan Inputs'!$B$8)),'Loan Inputs'!$B$8+A526*IF('Loan Inputs'!$B$14=26,14,7)))</f>
        <v/>
      </c>
      <c r="C526" s="2" t="str">
        <f t="shared" si="26"/>
        <v/>
      </c>
      <c r="D526" s="2" t="str">
        <f>IF(A526="","",MIN('Loan Inputs'!$B$17,C526+E526)+H526)</f>
        <v/>
      </c>
      <c r="E526" s="2" t="str">
        <f>IF(A526="","",C526*'Loan Inputs'!$B$15)</f>
        <v/>
      </c>
      <c r="F526" s="2" t="str">
        <f t="shared" si="24"/>
        <v/>
      </c>
      <c r="G526" s="2" t="str">
        <f t="shared" si="25"/>
        <v/>
      </c>
      <c r="H526" s="2" t="str">
        <f>IF(A526="","",MIN('Loan Inputs'!$B$18,MAX(0,C526+E526-'Loan Inputs'!$B$17)))</f>
        <v/>
      </c>
    </row>
    <row r="527" spans="1:8" ht="22" customHeight="1">
      <c r="A527" s="1" t="str">
        <f>IF(AND('Loan Inputs'!$B$12,521&lt;=IF('Loan Inputs'!$B$12,'Loan Inputs'!$B$7,0)*'Loan Inputs'!$B$14+5*'Loan Inputs'!$B$14,ISNUMBER(G526),G526&gt;0),521,"")</f>
        <v/>
      </c>
      <c r="B527" s="4" t="str">
        <f>IF(A527="","",IF('Loan Inputs'!$B$14=12,DATE(YEAR('Loan Inputs'!$B$8),MONTH('Loan Inputs'!$B$8)+A527,DAY('Loan Inputs'!$B$8)),'Loan Inputs'!$B$8+A527*IF('Loan Inputs'!$B$14=26,14,7)))</f>
        <v/>
      </c>
      <c r="C527" s="2" t="str">
        <f t="shared" si="26"/>
        <v/>
      </c>
      <c r="D527" s="2" t="str">
        <f>IF(A527="","",MIN('Loan Inputs'!$B$17,C527+E527)+H527)</f>
        <v/>
      </c>
      <c r="E527" s="2" t="str">
        <f>IF(A527="","",C527*'Loan Inputs'!$B$15)</f>
        <v/>
      </c>
      <c r="F527" s="2" t="str">
        <f t="shared" si="24"/>
        <v/>
      </c>
      <c r="G527" s="2" t="str">
        <f t="shared" si="25"/>
        <v/>
      </c>
      <c r="H527" s="2" t="str">
        <f>IF(A527="","",MIN('Loan Inputs'!$B$18,MAX(0,C527+E527-'Loan Inputs'!$B$17)))</f>
        <v/>
      </c>
    </row>
    <row r="528" spans="1:8" ht="22" customHeight="1">
      <c r="A528" s="1" t="str">
        <f>IF(AND('Loan Inputs'!$B$12,522&lt;=IF('Loan Inputs'!$B$12,'Loan Inputs'!$B$7,0)*'Loan Inputs'!$B$14+5*'Loan Inputs'!$B$14,ISNUMBER(G527),G527&gt;0),522,"")</f>
        <v/>
      </c>
      <c r="B528" s="4" t="str">
        <f>IF(A528="","",IF('Loan Inputs'!$B$14=12,DATE(YEAR('Loan Inputs'!$B$8),MONTH('Loan Inputs'!$B$8)+A528,DAY('Loan Inputs'!$B$8)),'Loan Inputs'!$B$8+A528*IF('Loan Inputs'!$B$14=26,14,7)))</f>
        <v/>
      </c>
      <c r="C528" s="2" t="str">
        <f t="shared" si="26"/>
        <v/>
      </c>
      <c r="D528" s="2" t="str">
        <f>IF(A528="","",MIN('Loan Inputs'!$B$17,C528+E528)+H528)</f>
        <v/>
      </c>
      <c r="E528" s="2" t="str">
        <f>IF(A528="","",C528*'Loan Inputs'!$B$15)</f>
        <v/>
      </c>
      <c r="F528" s="2" t="str">
        <f t="shared" si="24"/>
        <v/>
      </c>
      <c r="G528" s="2" t="str">
        <f t="shared" si="25"/>
        <v/>
      </c>
      <c r="H528" s="2" t="str">
        <f>IF(A528="","",MIN('Loan Inputs'!$B$18,MAX(0,C528+E528-'Loan Inputs'!$B$17)))</f>
        <v/>
      </c>
    </row>
    <row r="529" spans="1:8" ht="22" customHeight="1">
      <c r="A529" s="1" t="str">
        <f>IF(AND('Loan Inputs'!$B$12,523&lt;=IF('Loan Inputs'!$B$12,'Loan Inputs'!$B$7,0)*'Loan Inputs'!$B$14+5*'Loan Inputs'!$B$14,ISNUMBER(G528),G528&gt;0),523,"")</f>
        <v/>
      </c>
      <c r="B529" s="4" t="str">
        <f>IF(A529="","",IF('Loan Inputs'!$B$14=12,DATE(YEAR('Loan Inputs'!$B$8),MONTH('Loan Inputs'!$B$8)+A529,DAY('Loan Inputs'!$B$8)),'Loan Inputs'!$B$8+A529*IF('Loan Inputs'!$B$14=26,14,7)))</f>
        <v/>
      </c>
      <c r="C529" s="2" t="str">
        <f t="shared" si="26"/>
        <v/>
      </c>
      <c r="D529" s="2" t="str">
        <f>IF(A529="","",MIN('Loan Inputs'!$B$17,C529+E529)+H529)</f>
        <v/>
      </c>
      <c r="E529" s="2" t="str">
        <f>IF(A529="","",C529*'Loan Inputs'!$B$15)</f>
        <v/>
      </c>
      <c r="F529" s="2" t="str">
        <f t="shared" si="24"/>
        <v/>
      </c>
      <c r="G529" s="2" t="str">
        <f t="shared" si="25"/>
        <v/>
      </c>
      <c r="H529" s="2" t="str">
        <f>IF(A529="","",MIN('Loan Inputs'!$B$18,MAX(0,C529+E529-'Loan Inputs'!$B$17)))</f>
        <v/>
      </c>
    </row>
    <row r="530" spans="1:8" ht="22" customHeight="1">
      <c r="A530" s="1" t="str">
        <f>IF(AND('Loan Inputs'!$B$12,524&lt;=IF('Loan Inputs'!$B$12,'Loan Inputs'!$B$7,0)*'Loan Inputs'!$B$14+5*'Loan Inputs'!$B$14,ISNUMBER(G529),G529&gt;0),524,"")</f>
        <v/>
      </c>
      <c r="B530" s="4" t="str">
        <f>IF(A530="","",IF('Loan Inputs'!$B$14=12,DATE(YEAR('Loan Inputs'!$B$8),MONTH('Loan Inputs'!$B$8)+A530,DAY('Loan Inputs'!$B$8)),'Loan Inputs'!$B$8+A530*IF('Loan Inputs'!$B$14=26,14,7)))</f>
        <v/>
      </c>
      <c r="C530" s="2" t="str">
        <f t="shared" si="26"/>
        <v/>
      </c>
      <c r="D530" s="2" t="str">
        <f>IF(A530="","",MIN('Loan Inputs'!$B$17,C530+E530)+H530)</f>
        <v/>
      </c>
      <c r="E530" s="2" t="str">
        <f>IF(A530="","",C530*'Loan Inputs'!$B$15)</f>
        <v/>
      </c>
      <c r="F530" s="2" t="str">
        <f t="shared" si="24"/>
        <v/>
      </c>
      <c r="G530" s="2" t="str">
        <f t="shared" si="25"/>
        <v/>
      </c>
      <c r="H530" s="2" t="str">
        <f>IF(A530="","",MIN('Loan Inputs'!$B$18,MAX(0,C530+E530-'Loan Inputs'!$B$17)))</f>
        <v/>
      </c>
    </row>
    <row r="531" spans="1:8" ht="22" customHeight="1">
      <c r="A531" s="1" t="str">
        <f>IF(AND('Loan Inputs'!$B$12,525&lt;=IF('Loan Inputs'!$B$12,'Loan Inputs'!$B$7,0)*'Loan Inputs'!$B$14+5*'Loan Inputs'!$B$14,ISNUMBER(G530),G530&gt;0),525,"")</f>
        <v/>
      </c>
      <c r="B531" s="4" t="str">
        <f>IF(A531="","",IF('Loan Inputs'!$B$14=12,DATE(YEAR('Loan Inputs'!$B$8),MONTH('Loan Inputs'!$B$8)+A531,DAY('Loan Inputs'!$B$8)),'Loan Inputs'!$B$8+A531*IF('Loan Inputs'!$B$14=26,14,7)))</f>
        <v/>
      </c>
      <c r="C531" s="2" t="str">
        <f t="shared" si="26"/>
        <v/>
      </c>
      <c r="D531" s="2" t="str">
        <f>IF(A531="","",MIN('Loan Inputs'!$B$17,C531+E531)+H531)</f>
        <v/>
      </c>
      <c r="E531" s="2" t="str">
        <f>IF(A531="","",C531*'Loan Inputs'!$B$15)</f>
        <v/>
      </c>
      <c r="F531" s="2" t="str">
        <f t="shared" si="24"/>
        <v/>
      </c>
      <c r="G531" s="2" t="str">
        <f t="shared" si="25"/>
        <v/>
      </c>
      <c r="H531" s="2" t="str">
        <f>IF(A531="","",MIN('Loan Inputs'!$B$18,MAX(0,C531+E531-'Loan Inputs'!$B$17)))</f>
        <v/>
      </c>
    </row>
    <row r="532" spans="1:8" ht="22" customHeight="1">
      <c r="A532" s="1" t="str">
        <f>IF(AND('Loan Inputs'!$B$12,526&lt;=IF('Loan Inputs'!$B$12,'Loan Inputs'!$B$7,0)*'Loan Inputs'!$B$14+5*'Loan Inputs'!$B$14,ISNUMBER(G531),G531&gt;0),526,"")</f>
        <v/>
      </c>
      <c r="B532" s="4" t="str">
        <f>IF(A532="","",IF('Loan Inputs'!$B$14=12,DATE(YEAR('Loan Inputs'!$B$8),MONTH('Loan Inputs'!$B$8)+A532,DAY('Loan Inputs'!$B$8)),'Loan Inputs'!$B$8+A532*IF('Loan Inputs'!$B$14=26,14,7)))</f>
        <v/>
      </c>
      <c r="C532" s="2" t="str">
        <f t="shared" si="26"/>
        <v/>
      </c>
      <c r="D532" s="2" t="str">
        <f>IF(A532="","",MIN('Loan Inputs'!$B$17,C532+E532)+H532)</f>
        <v/>
      </c>
      <c r="E532" s="2" t="str">
        <f>IF(A532="","",C532*'Loan Inputs'!$B$15)</f>
        <v/>
      </c>
      <c r="F532" s="2" t="str">
        <f t="shared" si="24"/>
        <v/>
      </c>
      <c r="G532" s="2" t="str">
        <f t="shared" si="25"/>
        <v/>
      </c>
      <c r="H532" s="2" t="str">
        <f>IF(A532="","",MIN('Loan Inputs'!$B$18,MAX(0,C532+E532-'Loan Inputs'!$B$17)))</f>
        <v/>
      </c>
    </row>
    <row r="533" spans="1:8" ht="22" customHeight="1">
      <c r="A533" s="1" t="str">
        <f>IF(AND('Loan Inputs'!$B$12,527&lt;=IF('Loan Inputs'!$B$12,'Loan Inputs'!$B$7,0)*'Loan Inputs'!$B$14+5*'Loan Inputs'!$B$14,ISNUMBER(G532),G532&gt;0),527,"")</f>
        <v/>
      </c>
      <c r="B533" s="4" t="str">
        <f>IF(A533="","",IF('Loan Inputs'!$B$14=12,DATE(YEAR('Loan Inputs'!$B$8),MONTH('Loan Inputs'!$B$8)+A533,DAY('Loan Inputs'!$B$8)),'Loan Inputs'!$B$8+A533*IF('Loan Inputs'!$B$14=26,14,7)))</f>
        <v/>
      </c>
      <c r="C533" s="2" t="str">
        <f t="shared" si="26"/>
        <v/>
      </c>
      <c r="D533" s="2" t="str">
        <f>IF(A533="","",MIN('Loan Inputs'!$B$17,C533+E533)+H533)</f>
        <v/>
      </c>
      <c r="E533" s="2" t="str">
        <f>IF(A533="","",C533*'Loan Inputs'!$B$15)</f>
        <v/>
      </c>
      <c r="F533" s="2" t="str">
        <f t="shared" si="24"/>
        <v/>
      </c>
      <c r="G533" s="2" t="str">
        <f t="shared" si="25"/>
        <v/>
      </c>
      <c r="H533" s="2" t="str">
        <f>IF(A533="","",MIN('Loan Inputs'!$B$18,MAX(0,C533+E533-'Loan Inputs'!$B$17)))</f>
        <v/>
      </c>
    </row>
    <row r="534" spans="1:8" ht="22" customHeight="1">
      <c r="A534" s="1" t="str">
        <f>IF(AND('Loan Inputs'!$B$12,528&lt;=IF('Loan Inputs'!$B$12,'Loan Inputs'!$B$7,0)*'Loan Inputs'!$B$14+5*'Loan Inputs'!$B$14,ISNUMBER(G533),G533&gt;0),528,"")</f>
        <v/>
      </c>
      <c r="B534" s="4" t="str">
        <f>IF(A534="","",IF('Loan Inputs'!$B$14=12,DATE(YEAR('Loan Inputs'!$B$8),MONTH('Loan Inputs'!$B$8)+A534,DAY('Loan Inputs'!$B$8)),'Loan Inputs'!$B$8+A534*IF('Loan Inputs'!$B$14=26,14,7)))</f>
        <v/>
      </c>
      <c r="C534" s="2" t="str">
        <f t="shared" si="26"/>
        <v/>
      </c>
      <c r="D534" s="2" t="str">
        <f>IF(A534="","",MIN('Loan Inputs'!$B$17,C534+E534)+H534)</f>
        <v/>
      </c>
      <c r="E534" s="2" t="str">
        <f>IF(A534="","",C534*'Loan Inputs'!$B$15)</f>
        <v/>
      </c>
      <c r="F534" s="2" t="str">
        <f t="shared" si="24"/>
        <v/>
      </c>
      <c r="G534" s="2" t="str">
        <f t="shared" si="25"/>
        <v/>
      </c>
      <c r="H534" s="2" t="str">
        <f>IF(A534="","",MIN('Loan Inputs'!$B$18,MAX(0,C534+E534-'Loan Inputs'!$B$17)))</f>
        <v/>
      </c>
    </row>
    <row r="535" spans="1:8" ht="22" customHeight="1">
      <c r="A535" s="1" t="str">
        <f>IF(AND('Loan Inputs'!$B$12,529&lt;=IF('Loan Inputs'!$B$12,'Loan Inputs'!$B$7,0)*'Loan Inputs'!$B$14+5*'Loan Inputs'!$B$14,ISNUMBER(G534),G534&gt;0),529,"")</f>
        <v/>
      </c>
      <c r="B535" s="4" t="str">
        <f>IF(A535="","",IF('Loan Inputs'!$B$14=12,DATE(YEAR('Loan Inputs'!$B$8),MONTH('Loan Inputs'!$B$8)+A535,DAY('Loan Inputs'!$B$8)),'Loan Inputs'!$B$8+A535*IF('Loan Inputs'!$B$14=26,14,7)))</f>
        <v/>
      </c>
      <c r="C535" s="2" t="str">
        <f t="shared" si="26"/>
        <v/>
      </c>
      <c r="D535" s="2" t="str">
        <f>IF(A535="","",MIN('Loan Inputs'!$B$17,C535+E535)+H535)</f>
        <v/>
      </c>
      <c r="E535" s="2" t="str">
        <f>IF(A535="","",C535*'Loan Inputs'!$B$15)</f>
        <v/>
      </c>
      <c r="F535" s="2" t="str">
        <f t="shared" si="24"/>
        <v/>
      </c>
      <c r="G535" s="2" t="str">
        <f t="shared" si="25"/>
        <v/>
      </c>
      <c r="H535" s="2" t="str">
        <f>IF(A535="","",MIN('Loan Inputs'!$B$18,MAX(0,C535+E535-'Loan Inputs'!$B$17)))</f>
        <v/>
      </c>
    </row>
    <row r="536" spans="1:8" ht="22" customHeight="1">
      <c r="A536" s="1" t="str">
        <f>IF(AND('Loan Inputs'!$B$12,530&lt;=IF('Loan Inputs'!$B$12,'Loan Inputs'!$B$7,0)*'Loan Inputs'!$B$14+5*'Loan Inputs'!$B$14,ISNUMBER(G535),G535&gt;0),530,"")</f>
        <v/>
      </c>
      <c r="B536" s="4" t="str">
        <f>IF(A536="","",IF('Loan Inputs'!$B$14=12,DATE(YEAR('Loan Inputs'!$B$8),MONTH('Loan Inputs'!$B$8)+A536,DAY('Loan Inputs'!$B$8)),'Loan Inputs'!$B$8+A536*IF('Loan Inputs'!$B$14=26,14,7)))</f>
        <v/>
      </c>
      <c r="C536" s="2" t="str">
        <f t="shared" si="26"/>
        <v/>
      </c>
      <c r="D536" s="2" t="str">
        <f>IF(A536="","",MIN('Loan Inputs'!$B$17,C536+E536)+H536)</f>
        <v/>
      </c>
      <c r="E536" s="2" t="str">
        <f>IF(A536="","",C536*'Loan Inputs'!$B$15)</f>
        <v/>
      </c>
      <c r="F536" s="2" t="str">
        <f t="shared" si="24"/>
        <v/>
      </c>
      <c r="G536" s="2" t="str">
        <f t="shared" si="25"/>
        <v/>
      </c>
      <c r="H536" s="2" t="str">
        <f>IF(A536="","",MIN('Loan Inputs'!$B$18,MAX(0,C536+E536-'Loan Inputs'!$B$17)))</f>
        <v/>
      </c>
    </row>
    <row r="537" spans="1:8" ht="22" customHeight="1">
      <c r="A537" s="1" t="str">
        <f>IF(AND('Loan Inputs'!$B$12,531&lt;=IF('Loan Inputs'!$B$12,'Loan Inputs'!$B$7,0)*'Loan Inputs'!$B$14+5*'Loan Inputs'!$B$14,ISNUMBER(G536),G536&gt;0),531,"")</f>
        <v/>
      </c>
      <c r="B537" s="4" t="str">
        <f>IF(A537="","",IF('Loan Inputs'!$B$14=12,DATE(YEAR('Loan Inputs'!$B$8),MONTH('Loan Inputs'!$B$8)+A537,DAY('Loan Inputs'!$B$8)),'Loan Inputs'!$B$8+A537*IF('Loan Inputs'!$B$14=26,14,7)))</f>
        <v/>
      </c>
      <c r="C537" s="2" t="str">
        <f t="shared" si="26"/>
        <v/>
      </c>
      <c r="D537" s="2" t="str">
        <f>IF(A537="","",MIN('Loan Inputs'!$B$17,C537+E537)+H537)</f>
        <v/>
      </c>
      <c r="E537" s="2" t="str">
        <f>IF(A537="","",C537*'Loan Inputs'!$B$15)</f>
        <v/>
      </c>
      <c r="F537" s="2" t="str">
        <f t="shared" si="24"/>
        <v/>
      </c>
      <c r="G537" s="2" t="str">
        <f t="shared" si="25"/>
        <v/>
      </c>
      <c r="H537" s="2" t="str">
        <f>IF(A537="","",MIN('Loan Inputs'!$B$18,MAX(0,C537+E537-'Loan Inputs'!$B$17)))</f>
        <v/>
      </c>
    </row>
    <row r="538" spans="1:8" ht="22" customHeight="1">
      <c r="A538" s="1" t="str">
        <f>IF(AND('Loan Inputs'!$B$12,532&lt;=IF('Loan Inputs'!$B$12,'Loan Inputs'!$B$7,0)*'Loan Inputs'!$B$14+5*'Loan Inputs'!$B$14,ISNUMBER(G537),G537&gt;0),532,"")</f>
        <v/>
      </c>
      <c r="B538" s="4" t="str">
        <f>IF(A538="","",IF('Loan Inputs'!$B$14=12,DATE(YEAR('Loan Inputs'!$B$8),MONTH('Loan Inputs'!$B$8)+A538,DAY('Loan Inputs'!$B$8)),'Loan Inputs'!$B$8+A538*IF('Loan Inputs'!$B$14=26,14,7)))</f>
        <v/>
      </c>
      <c r="C538" s="2" t="str">
        <f t="shared" si="26"/>
        <v/>
      </c>
      <c r="D538" s="2" t="str">
        <f>IF(A538="","",MIN('Loan Inputs'!$B$17,C538+E538)+H538)</f>
        <v/>
      </c>
      <c r="E538" s="2" t="str">
        <f>IF(A538="","",C538*'Loan Inputs'!$B$15)</f>
        <v/>
      </c>
      <c r="F538" s="2" t="str">
        <f t="shared" si="24"/>
        <v/>
      </c>
      <c r="G538" s="2" t="str">
        <f t="shared" si="25"/>
        <v/>
      </c>
      <c r="H538" s="2" t="str">
        <f>IF(A538="","",MIN('Loan Inputs'!$B$18,MAX(0,C538+E538-'Loan Inputs'!$B$17)))</f>
        <v/>
      </c>
    </row>
    <row r="539" spans="1:8" ht="22" customHeight="1">
      <c r="A539" s="1" t="str">
        <f>IF(AND('Loan Inputs'!$B$12,533&lt;=IF('Loan Inputs'!$B$12,'Loan Inputs'!$B$7,0)*'Loan Inputs'!$B$14+5*'Loan Inputs'!$B$14,ISNUMBER(G538),G538&gt;0),533,"")</f>
        <v/>
      </c>
      <c r="B539" s="4" t="str">
        <f>IF(A539="","",IF('Loan Inputs'!$B$14=12,DATE(YEAR('Loan Inputs'!$B$8),MONTH('Loan Inputs'!$B$8)+A539,DAY('Loan Inputs'!$B$8)),'Loan Inputs'!$B$8+A539*IF('Loan Inputs'!$B$14=26,14,7)))</f>
        <v/>
      </c>
      <c r="C539" s="2" t="str">
        <f t="shared" si="26"/>
        <v/>
      </c>
      <c r="D539" s="2" t="str">
        <f>IF(A539="","",MIN('Loan Inputs'!$B$17,C539+E539)+H539)</f>
        <v/>
      </c>
      <c r="E539" s="2" t="str">
        <f>IF(A539="","",C539*'Loan Inputs'!$B$15)</f>
        <v/>
      </c>
      <c r="F539" s="2" t="str">
        <f t="shared" si="24"/>
        <v/>
      </c>
      <c r="G539" s="2" t="str">
        <f t="shared" si="25"/>
        <v/>
      </c>
      <c r="H539" s="2" t="str">
        <f>IF(A539="","",MIN('Loan Inputs'!$B$18,MAX(0,C539+E539-'Loan Inputs'!$B$17)))</f>
        <v/>
      </c>
    </row>
    <row r="540" spans="1:8" ht="22" customHeight="1">
      <c r="A540" s="1" t="str">
        <f>IF(AND('Loan Inputs'!$B$12,534&lt;=IF('Loan Inputs'!$B$12,'Loan Inputs'!$B$7,0)*'Loan Inputs'!$B$14+5*'Loan Inputs'!$B$14,ISNUMBER(G539),G539&gt;0),534,"")</f>
        <v/>
      </c>
      <c r="B540" s="4" t="str">
        <f>IF(A540="","",IF('Loan Inputs'!$B$14=12,DATE(YEAR('Loan Inputs'!$B$8),MONTH('Loan Inputs'!$B$8)+A540,DAY('Loan Inputs'!$B$8)),'Loan Inputs'!$B$8+A540*IF('Loan Inputs'!$B$14=26,14,7)))</f>
        <v/>
      </c>
      <c r="C540" s="2" t="str">
        <f t="shared" si="26"/>
        <v/>
      </c>
      <c r="D540" s="2" t="str">
        <f>IF(A540="","",MIN('Loan Inputs'!$B$17,C540+E540)+H540)</f>
        <v/>
      </c>
      <c r="E540" s="2" t="str">
        <f>IF(A540="","",C540*'Loan Inputs'!$B$15)</f>
        <v/>
      </c>
      <c r="F540" s="2" t="str">
        <f t="shared" si="24"/>
        <v/>
      </c>
      <c r="G540" s="2" t="str">
        <f t="shared" si="25"/>
        <v/>
      </c>
      <c r="H540" s="2" t="str">
        <f>IF(A540="","",MIN('Loan Inputs'!$B$18,MAX(0,C540+E540-'Loan Inputs'!$B$17)))</f>
        <v/>
      </c>
    </row>
    <row r="541" spans="1:8" ht="22" customHeight="1">
      <c r="A541" s="1" t="str">
        <f>IF(AND('Loan Inputs'!$B$12,535&lt;=IF('Loan Inputs'!$B$12,'Loan Inputs'!$B$7,0)*'Loan Inputs'!$B$14+5*'Loan Inputs'!$B$14,ISNUMBER(G540),G540&gt;0),535,"")</f>
        <v/>
      </c>
      <c r="B541" s="4" t="str">
        <f>IF(A541="","",IF('Loan Inputs'!$B$14=12,DATE(YEAR('Loan Inputs'!$B$8),MONTH('Loan Inputs'!$B$8)+A541,DAY('Loan Inputs'!$B$8)),'Loan Inputs'!$B$8+A541*IF('Loan Inputs'!$B$14=26,14,7)))</f>
        <v/>
      </c>
      <c r="C541" s="2" t="str">
        <f t="shared" si="26"/>
        <v/>
      </c>
      <c r="D541" s="2" t="str">
        <f>IF(A541="","",MIN('Loan Inputs'!$B$17,C541+E541)+H541)</f>
        <v/>
      </c>
      <c r="E541" s="2" t="str">
        <f>IF(A541="","",C541*'Loan Inputs'!$B$15)</f>
        <v/>
      </c>
      <c r="F541" s="2" t="str">
        <f t="shared" si="24"/>
        <v/>
      </c>
      <c r="G541" s="2" t="str">
        <f t="shared" si="25"/>
        <v/>
      </c>
      <c r="H541" s="2" t="str">
        <f>IF(A541="","",MIN('Loan Inputs'!$B$18,MAX(0,C541+E541-'Loan Inputs'!$B$17)))</f>
        <v/>
      </c>
    </row>
    <row r="542" spans="1:8" ht="22" customHeight="1">
      <c r="A542" s="1" t="str">
        <f>IF(AND('Loan Inputs'!$B$12,536&lt;=IF('Loan Inputs'!$B$12,'Loan Inputs'!$B$7,0)*'Loan Inputs'!$B$14+5*'Loan Inputs'!$B$14,ISNUMBER(G541),G541&gt;0),536,"")</f>
        <v/>
      </c>
      <c r="B542" s="4" t="str">
        <f>IF(A542="","",IF('Loan Inputs'!$B$14=12,DATE(YEAR('Loan Inputs'!$B$8),MONTH('Loan Inputs'!$B$8)+A542,DAY('Loan Inputs'!$B$8)),'Loan Inputs'!$B$8+A542*IF('Loan Inputs'!$B$14=26,14,7)))</f>
        <v/>
      </c>
      <c r="C542" s="2" t="str">
        <f t="shared" si="26"/>
        <v/>
      </c>
      <c r="D542" s="2" t="str">
        <f>IF(A542="","",MIN('Loan Inputs'!$B$17,C542+E542)+H542)</f>
        <v/>
      </c>
      <c r="E542" s="2" t="str">
        <f>IF(A542="","",C542*'Loan Inputs'!$B$15)</f>
        <v/>
      </c>
      <c r="F542" s="2" t="str">
        <f t="shared" si="24"/>
        <v/>
      </c>
      <c r="G542" s="2" t="str">
        <f t="shared" si="25"/>
        <v/>
      </c>
      <c r="H542" s="2" t="str">
        <f>IF(A542="","",MIN('Loan Inputs'!$B$18,MAX(0,C542+E542-'Loan Inputs'!$B$17)))</f>
        <v/>
      </c>
    </row>
    <row r="543" spans="1:8" ht="22" customHeight="1">
      <c r="A543" s="1" t="str">
        <f>IF(AND('Loan Inputs'!$B$12,537&lt;=IF('Loan Inputs'!$B$12,'Loan Inputs'!$B$7,0)*'Loan Inputs'!$B$14+5*'Loan Inputs'!$B$14,ISNUMBER(G542),G542&gt;0),537,"")</f>
        <v/>
      </c>
      <c r="B543" s="4" t="str">
        <f>IF(A543="","",IF('Loan Inputs'!$B$14=12,DATE(YEAR('Loan Inputs'!$B$8),MONTH('Loan Inputs'!$B$8)+A543,DAY('Loan Inputs'!$B$8)),'Loan Inputs'!$B$8+A543*IF('Loan Inputs'!$B$14=26,14,7)))</f>
        <v/>
      </c>
      <c r="C543" s="2" t="str">
        <f t="shared" si="26"/>
        <v/>
      </c>
      <c r="D543" s="2" t="str">
        <f>IF(A543="","",MIN('Loan Inputs'!$B$17,C543+E543)+H543)</f>
        <v/>
      </c>
      <c r="E543" s="2" t="str">
        <f>IF(A543="","",C543*'Loan Inputs'!$B$15)</f>
        <v/>
      </c>
      <c r="F543" s="2" t="str">
        <f t="shared" si="24"/>
        <v/>
      </c>
      <c r="G543" s="2" t="str">
        <f t="shared" si="25"/>
        <v/>
      </c>
      <c r="H543" s="2" t="str">
        <f>IF(A543="","",MIN('Loan Inputs'!$B$18,MAX(0,C543+E543-'Loan Inputs'!$B$17)))</f>
        <v/>
      </c>
    </row>
    <row r="544" spans="1:8" ht="22" customHeight="1">
      <c r="A544" s="1" t="str">
        <f>IF(AND('Loan Inputs'!$B$12,538&lt;=IF('Loan Inputs'!$B$12,'Loan Inputs'!$B$7,0)*'Loan Inputs'!$B$14+5*'Loan Inputs'!$B$14,ISNUMBER(G543),G543&gt;0),538,"")</f>
        <v/>
      </c>
      <c r="B544" s="4" t="str">
        <f>IF(A544="","",IF('Loan Inputs'!$B$14=12,DATE(YEAR('Loan Inputs'!$B$8),MONTH('Loan Inputs'!$B$8)+A544,DAY('Loan Inputs'!$B$8)),'Loan Inputs'!$B$8+A544*IF('Loan Inputs'!$B$14=26,14,7)))</f>
        <v/>
      </c>
      <c r="C544" s="2" t="str">
        <f t="shared" si="26"/>
        <v/>
      </c>
      <c r="D544" s="2" t="str">
        <f>IF(A544="","",MIN('Loan Inputs'!$B$17,C544+E544)+H544)</f>
        <v/>
      </c>
      <c r="E544" s="2" t="str">
        <f>IF(A544="","",C544*'Loan Inputs'!$B$15)</f>
        <v/>
      </c>
      <c r="F544" s="2" t="str">
        <f t="shared" si="24"/>
        <v/>
      </c>
      <c r="G544" s="2" t="str">
        <f t="shared" si="25"/>
        <v/>
      </c>
      <c r="H544" s="2" t="str">
        <f>IF(A544="","",MIN('Loan Inputs'!$B$18,MAX(0,C544+E544-'Loan Inputs'!$B$17)))</f>
        <v/>
      </c>
    </row>
    <row r="545" spans="1:8" ht="22" customHeight="1">
      <c r="A545" s="1" t="str">
        <f>IF(AND('Loan Inputs'!$B$12,539&lt;=IF('Loan Inputs'!$B$12,'Loan Inputs'!$B$7,0)*'Loan Inputs'!$B$14+5*'Loan Inputs'!$B$14,ISNUMBER(G544),G544&gt;0),539,"")</f>
        <v/>
      </c>
      <c r="B545" s="4" t="str">
        <f>IF(A545="","",IF('Loan Inputs'!$B$14=12,DATE(YEAR('Loan Inputs'!$B$8),MONTH('Loan Inputs'!$B$8)+A545,DAY('Loan Inputs'!$B$8)),'Loan Inputs'!$B$8+A545*IF('Loan Inputs'!$B$14=26,14,7)))</f>
        <v/>
      </c>
      <c r="C545" s="2" t="str">
        <f t="shared" si="26"/>
        <v/>
      </c>
      <c r="D545" s="2" t="str">
        <f>IF(A545="","",MIN('Loan Inputs'!$B$17,C545+E545)+H545)</f>
        <v/>
      </c>
      <c r="E545" s="2" t="str">
        <f>IF(A545="","",C545*'Loan Inputs'!$B$15)</f>
        <v/>
      </c>
      <c r="F545" s="2" t="str">
        <f t="shared" si="24"/>
        <v/>
      </c>
      <c r="G545" s="2" t="str">
        <f t="shared" si="25"/>
        <v/>
      </c>
      <c r="H545" s="2" t="str">
        <f>IF(A545="","",MIN('Loan Inputs'!$B$18,MAX(0,C545+E545-'Loan Inputs'!$B$17)))</f>
        <v/>
      </c>
    </row>
    <row r="546" spans="1:8" ht="22" customHeight="1">
      <c r="A546" s="1" t="str">
        <f>IF(AND('Loan Inputs'!$B$12,540&lt;=IF('Loan Inputs'!$B$12,'Loan Inputs'!$B$7,0)*'Loan Inputs'!$B$14+5*'Loan Inputs'!$B$14,ISNUMBER(G545),G545&gt;0),540,"")</f>
        <v/>
      </c>
      <c r="B546" s="4" t="str">
        <f>IF(A546="","",IF('Loan Inputs'!$B$14=12,DATE(YEAR('Loan Inputs'!$B$8),MONTH('Loan Inputs'!$B$8)+A546,DAY('Loan Inputs'!$B$8)),'Loan Inputs'!$B$8+A546*IF('Loan Inputs'!$B$14=26,14,7)))</f>
        <v/>
      </c>
      <c r="C546" s="2" t="str">
        <f t="shared" si="26"/>
        <v/>
      </c>
      <c r="D546" s="2" t="str">
        <f>IF(A546="","",MIN('Loan Inputs'!$B$17,C546+E546)+H546)</f>
        <v/>
      </c>
      <c r="E546" s="2" t="str">
        <f>IF(A546="","",C546*'Loan Inputs'!$B$15)</f>
        <v/>
      </c>
      <c r="F546" s="2" t="str">
        <f t="shared" si="24"/>
        <v/>
      </c>
      <c r="G546" s="2" t="str">
        <f t="shared" si="25"/>
        <v/>
      </c>
      <c r="H546" s="2" t="str">
        <f>IF(A546="","",MIN('Loan Inputs'!$B$18,MAX(0,C546+E546-'Loan Inputs'!$B$17)))</f>
        <v/>
      </c>
    </row>
    <row r="547" spans="1:8" ht="22" customHeight="1">
      <c r="A547" s="1" t="str">
        <f>IF(AND('Loan Inputs'!$B$12,541&lt;=IF('Loan Inputs'!$B$12,'Loan Inputs'!$B$7,0)*'Loan Inputs'!$B$14+5*'Loan Inputs'!$B$14,ISNUMBER(G546),G546&gt;0),541,"")</f>
        <v/>
      </c>
      <c r="B547" s="4" t="str">
        <f>IF(A547="","",IF('Loan Inputs'!$B$14=12,DATE(YEAR('Loan Inputs'!$B$8),MONTH('Loan Inputs'!$B$8)+A547,DAY('Loan Inputs'!$B$8)),'Loan Inputs'!$B$8+A547*IF('Loan Inputs'!$B$14=26,14,7)))</f>
        <v/>
      </c>
      <c r="C547" s="2" t="str">
        <f t="shared" si="26"/>
        <v/>
      </c>
      <c r="D547" s="2" t="str">
        <f>IF(A547="","",MIN('Loan Inputs'!$B$17,C547+E547)+H547)</f>
        <v/>
      </c>
      <c r="E547" s="2" t="str">
        <f>IF(A547="","",C547*'Loan Inputs'!$B$15)</f>
        <v/>
      </c>
      <c r="F547" s="2" t="str">
        <f t="shared" si="24"/>
        <v/>
      </c>
      <c r="G547" s="2" t="str">
        <f t="shared" si="25"/>
        <v/>
      </c>
      <c r="H547" s="2" t="str">
        <f>IF(A547="","",MIN('Loan Inputs'!$B$18,MAX(0,C547+E547-'Loan Inputs'!$B$17)))</f>
        <v/>
      </c>
    </row>
    <row r="548" spans="1:8" ht="22" customHeight="1">
      <c r="A548" s="1" t="str">
        <f>IF(AND('Loan Inputs'!$B$12,542&lt;=IF('Loan Inputs'!$B$12,'Loan Inputs'!$B$7,0)*'Loan Inputs'!$B$14+5*'Loan Inputs'!$B$14,ISNUMBER(G547),G547&gt;0),542,"")</f>
        <v/>
      </c>
      <c r="B548" s="4" t="str">
        <f>IF(A548="","",IF('Loan Inputs'!$B$14=12,DATE(YEAR('Loan Inputs'!$B$8),MONTH('Loan Inputs'!$B$8)+A548,DAY('Loan Inputs'!$B$8)),'Loan Inputs'!$B$8+A548*IF('Loan Inputs'!$B$14=26,14,7)))</f>
        <v/>
      </c>
      <c r="C548" s="2" t="str">
        <f t="shared" si="26"/>
        <v/>
      </c>
      <c r="D548" s="2" t="str">
        <f>IF(A548="","",MIN('Loan Inputs'!$B$17,C548+E548)+H548)</f>
        <v/>
      </c>
      <c r="E548" s="2" t="str">
        <f>IF(A548="","",C548*'Loan Inputs'!$B$15)</f>
        <v/>
      </c>
      <c r="F548" s="2" t="str">
        <f t="shared" si="24"/>
        <v/>
      </c>
      <c r="G548" s="2" t="str">
        <f t="shared" si="25"/>
        <v/>
      </c>
      <c r="H548" s="2" t="str">
        <f>IF(A548="","",MIN('Loan Inputs'!$B$18,MAX(0,C548+E548-'Loan Inputs'!$B$17)))</f>
        <v/>
      </c>
    </row>
    <row r="549" spans="1:8" ht="22" customHeight="1">
      <c r="A549" s="1" t="str">
        <f>IF(AND('Loan Inputs'!$B$12,543&lt;=IF('Loan Inputs'!$B$12,'Loan Inputs'!$B$7,0)*'Loan Inputs'!$B$14+5*'Loan Inputs'!$B$14,ISNUMBER(G548),G548&gt;0),543,"")</f>
        <v/>
      </c>
      <c r="B549" s="4" t="str">
        <f>IF(A549="","",IF('Loan Inputs'!$B$14=12,DATE(YEAR('Loan Inputs'!$B$8),MONTH('Loan Inputs'!$B$8)+A549,DAY('Loan Inputs'!$B$8)),'Loan Inputs'!$B$8+A549*IF('Loan Inputs'!$B$14=26,14,7)))</f>
        <v/>
      </c>
      <c r="C549" s="2" t="str">
        <f t="shared" si="26"/>
        <v/>
      </c>
      <c r="D549" s="2" t="str">
        <f>IF(A549="","",MIN('Loan Inputs'!$B$17,C549+E549)+H549)</f>
        <v/>
      </c>
      <c r="E549" s="2" t="str">
        <f>IF(A549="","",C549*'Loan Inputs'!$B$15)</f>
        <v/>
      </c>
      <c r="F549" s="2" t="str">
        <f t="shared" si="24"/>
        <v/>
      </c>
      <c r="G549" s="2" t="str">
        <f t="shared" si="25"/>
        <v/>
      </c>
      <c r="H549" s="2" t="str">
        <f>IF(A549="","",MIN('Loan Inputs'!$B$18,MAX(0,C549+E549-'Loan Inputs'!$B$17)))</f>
        <v/>
      </c>
    </row>
    <row r="550" spans="1:8" ht="22" customHeight="1">
      <c r="A550" s="1" t="str">
        <f>IF(AND('Loan Inputs'!$B$12,544&lt;=IF('Loan Inputs'!$B$12,'Loan Inputs'!$B$7,0)*'Loan Inputs'!$B$14+5*'Loan Inputs'!$B$14,ISNUMBER(G549),G549&gt;0),544,"")</f>
        <v/>
      </c>
      <c r="B550" s="4" t="str">
        <f>IF(A550="","",IF('Loan Inputs'!$B$14=12,DATE(YEAR('Loan Inputs'!$B$8),MONTH('Loan Inputs'!$B$8)+A550,DAY('Loan Inputs'!$B$8)),'Loan Inputs'!$B$8+A550*IF('Loan Inputs'!$B$14=26,14,7)))</f>
        <v/>
      </c>
      <c r="C550" s="2" t="str">
        <f t="shared" si="26"/>
        <v/>
      </c>
      <c r="D550" s="2" t="str">
        <f>IF(A550="","",MIN('Loan Inputs'!$B$17,C550+E550)+H550)</f>
        <v/>
      </c>
      <c r="E550" s="2" t="str">
        <f>IF(A550="","",C550*'Loan Inputs'!$B$15)</f>
        <v/>
      </c>
      <c r="F550" s="2" t="str">
        <f t="shared" si="24"/>
        <v/>
      </c>
      <c r="G550" s="2" t="str">
        <f t="shared" si="25"/>
        <v/>
      </c>
      <c r="H550" s="2" t="str">
        <f>IF(A550="","",MIN('Loan Inputs'!$B$18,MAX(0,C550+E550-'Loan Inputs'!$B$17)))</f>
        <v/>
      </c>
    </row>
    <row r="551" spans="1:8" ht="22" customHeight="1">
      <c r="A551" s="1" t="str">
        <f>IF(AND('Loan Inputs'!$B$12,545&lt;=IF('Loan Inputs'!$B$12,'Loan Inputs'!$B$7,0)*'Loan Inputs'!$B$14+5*'Loan Inputs'!$B$14,ISNUMBER(G550),G550&gt;0),545,"")</f>
        <v/>
      </c>
      <c r="B551" s="4" t="str">
        <f>IF(A551="","",IF('Loan Inputs'!$B$14=12,DATE(YEAR('Loan Inputs'!$B$8),MONTH('Loan Inputs'!$B$8)+A551,DAY('Loan Inputs'!$B$8)),'Loan Inputs'!$B$8+A551*IF('Loan Inputs'!$B$14=26,14,7)))</f>
        <v/>
      </c>
      <c r="C551" s="2" t="str">
        <f t="shared" si="26"/>
        <v/>
      </c>
      <c r="D551" s="2" t="str">
        <f>IF(A551="","",MIN('Loan Inputs'!$B$17,C551+E551)+H551)</f>
        <v/>
      </c>
      <c r="E551" s="2" t="str">
        <f>IF(A551="","",C551*'Loan Inputs'!$B$15)</f>
        <v/>
      </c>
      <c r="F551" s="2" t="str">
        <f t="shared" si="24"/>
        <v/>
      </c>
      <c r="G551" s="2" t="str">
        <f t="shared" si="25"/>
        <v/>
      </c>
      <c r="H551" s="2" t="str">
        <f>IF(A551="","",MIN('Loan Inputs'!$B$18,MAX(0,C551+E551-'Loan Inputs'!$B$17)))</f>
        <v/>
      </c>
    </row>
    <row r="552" spans="1:8" ht="22" customHeight="1">
      <c r="A552" s="1" t="str">
        <f>IF(AND('Loan Inputs'!$B$12,546&lt;=IF('Loan Inputs'!$B$12,'Loan Inputs'!$B$7,0)*'Loan Inputs'!$B$14+5*'Loan Inputs'!$B$14,ISNUMBER(G551),G551&gt;0),546,"")</f>
        <v/>
      </c>
      <c r="B552" s="4" t="str">
        <f>IF(A552="","",IF('Loan Inputs'!$B$14=12,DATE(YEAR('Loan Inputs'!$B$8),MONTH('Loan Inputs'!$B$8)+A552,DAY('Loan Inputs'!$B$8)),'Loan Inputs'!$B$8+A552*IF('Loan Inputs'!$B$14=26,14,7)))</f>
        <v/>
      </c>
      <c r="C552" s="2" t="str">
        <f t="shared" si="26"/>
        <v/>
      </c>
      <c r="D552" s="2" t="str">
        <f>IF(A552="","",MIN('Loan Inputs'!$B$17,C552+E552)+H552)</f>
        <v/>
      </c>
      <c r="E552" s="2" t="str">
        <f>IF(A552="","",C552*'Loan Inputs'!$B$15)</f>
        <v/>
      </c>
      <c r="F552" s="2" t="str">
        <f t="shared" si="24"/>
        <v/>
      </c>
      <c r="G552" s="2" t="str">
        <f t="shared" si="25"/>
        <v/>
      </c>
      <c r="H552" s="2" t="str">
        <f>IF(A552="","",MIN('Loan Inputs'!$B$18,MAX(0,C552+E552-'Loan Inputs'!$B$17)))</f>
        <v/>
      </c>
    </row>
    <row r="553" spans="1:8" ht="22" customHeight="1">
      <c r="A553" s="1" t="str">
        <f>IF(AND('Loan Inputs'!$B$12,547&lt;=IF('Loan Inputs'!$B$12,'Loan Inputs'!$B$7,0)*'Loan Inputs'!$B$14+5*'Loan Inputs'!$B$14,ISNUMBER(G552),G552&gt;0),547,"")</f>
        <v/>
      </c>
      <c r="B553" s="4" t="str">
        <f>IF(A553="","",IF('Loan Inputs'!$B$14=12,DATE(YEAR('Loan Inputs'!$B$8),MONTH('Loan Inputs'!$B$8)+A553,DAY('Loan Inputs'!$B$8)),'Loan Inputs'!$B$8+A553*IF('Loan Inputs'!$B$14=26,14,7)))</f>
        <v/>
      </c>
      <c r="C553" s="2" t="str">
        <f t="shared" si="26"/>
        <v/>
      </c>
      <c r="D553" s="2" t="str">
        <f>IF(A553="","",MIN('Loan Inputs'!$B$17,C553+E553)+H553)</f>
        <v/>
      </c>
      <c r="E553" s="2" t="str">
        <f>IF(A553="","",C553*'Loan Inputs'!$B$15)</f>
        <v/>
      </c>
      <c r="F553" s="2" t="str">
        <f t="shared" si="24"/>
        <v/>
      </c>
      <c r="G553" s="2" t="str">
        <f t="shared" si="25"/>
        <v/>
      </c>
      <c r="H553" s="2" t="str">
        <f>IF(A553="","",MIN('Loan Inputs'!$B$18,MAX(0,C553+E553-'Loan Inputs'!$B$17)))</f>
        <v/>
      </c>
    </row>
    <row r="554" spans="1:8" ht="22" customHeight="1">
      <c r="A554" s="1" t="str">
        <f>IF(AND('Loan Inputs'!$B$12,548&lt;=IF('Loan Inputs'!$B$12,'Loan Inputs'!$B$7,0)*'Loan Inputs'!$B$14+5*'Loan Inputs'!$B$14,ISNUMBER(G553),G553&gt;0),548,"")</f>
        <v/>
      </c>
      <c r="B554" s="4" t="str">
        <f>IF(A554="","",IF('Loan Inputs'!$B$14=12,DATE(YEAR('Loan Inputs'!$B$8),MONTH('Loan Inputs'!$B$8)+A554,DAY('Loan Inputs'!$B$8)),'Loan Inputs'!$B$8+A554*IF('Loan Inputs'!$B$14=26,14,7)))</f>
        <v/>
      </c>
      <c r="C554" s="2" t="str">
        <f t="shared" si="26"/>
        <v/>
      </c>
      <c r="D554" s="2" t="str">
        <f>IF(A554="","",MIN('Loan Inputs'!$B$17,C554+E554)+H554)</f>
        <v/>
      </c>
      <c r="E554" s="2" t="str">
        <f>IF(A554="","",C554*'Loan Inputs'!$B$15)</f>
        <v/>
      </c>
      <c r="F554" s="2" t="str">
        <f t="shared" si="24"/>
        <v/>
      </c>
      <c r="G554" s="2" t="str">
        <f t="shared" si="25"/>
        <v/>
      </c>
      <c r="H554" s="2" t="str">
        <f>IF(A554="","",MIN('Loan Inputs'!$B$18,MAX(0,C554+E554-'Loan Inputs'!$B$17)))</f>
        <v/>
      </c>
    </row>
    <row r="555" spans="1:8" ht="22" customHeight="1">
      <c r="A555" s="1" t="str">
        <f>IF(AND('Loan Inputs'!$B$12,549&lt;=IF('Loan Inputs'!$B$12,'Loan Inputs'!$B$7,0)*'Loan Inputs'!$B$14+5*'Loan Inputs'!$B$14,ISNUMBER(G554),G554&gt;0),549,"")</f>
        <v/>
      </c>
      <c r="B555" s="4" t="str">
        <f>IF(A555="","",IF('Loan Inputs'!$B$14=12,DATE(YEAR('Loan Inputs'!$B$8),MONTH('Loan Inputs'!$B$8)+A555,DAY('Loan Inputs'!$B$8)),'Loan Inputs'!$B$8+A555*IF('Loan Inputs'!$B$14=26,14,7)))</f>
        <v/>
      </c>
      <c r="C555" s="2" t="str">
        <f t="shared" si="26"/>
        <v/>
      </c>
      <c r="D555" s="2" t="str">
        <f>IF(A555="","",MIN('Loan Inputs'!$B$17,C555+E555)+H555)</f>
        <v/>
      </c>
      <c r="E555" s="2" t="str">
        <f>IF(A555="","",C555*'Loan Inputs'!$B$15)</f>
        <v/>
      </c>
      <c r="F555" s="2" t="str">
        <f t="shared" si="24"/>
        <v/>
      </c>
      <c r="G555" s="2" t="str">
        <f t="shared" si="25"/>
        <v/>
      </c>
      <c r="H555" s="2" t="str">
        <f>IF(A555="","",MIN('Loan Inputs'!$B$18,MAX(0,C555+E555-'Loan Inputs'!$B$17)))</f>
        <v/>
      </c>
    </row>
    <row r="556" spans="1:8" ht="22" customHeight="1">
      <c r="A556" s="1" t="str">
        <f>IF(AND('Loan Inputs'!$B$12,550&lt;=IF('Loan Inputs'!$B$12,'Loan Inputs'!$B$7,0)*'Loan Inputs'!$B$14+5*'Loan Inputs'!$B$14,ISNUMBER(G555),G555&gt;0),550,"")</f>
        <v/>
      </c>
      <c r="B556" s="4" t="str">
        <f>IF(A556="","",IF('Loan Inputs'!$B$14=12,DATE(YEAR('Loan Inputs'!$B$8),MONTH('Loan Inputs'!$B$8)+A556,DAY('Loan Inputs'!$B$8)),'Loan Inputs'!$B$8+A556*IF('Loan Inputs'!$B$14=26,14,7)))</f>
        <v/>
      </c>
      <c r="C556" s="2" t="str">
        <f t="shared" si="26"/>
        <v/>
      </c>
      <c r="D556" s="2" t="str">
        <f>IF(A556="","",MIN('Loan Inputs'!$B$17,C556+E556)+H556)</f>
        <v/>
      </c>
      <c r="E556" s="2" t="str">
        <f>IF(A556="","",C556*'Loan Inputs'!$B$15)</f>
        <v/>
      </c>
      <c r="F556" s="2" t="str">
        <f t="shared" si="24"/>
        <v/>
      </c>
      <c r="G556" s="2" t="str">
        <f t="shared" si="25"/>
        <v/>
      </c>
      <c r="H556" s="2" t="str">
        <f>IF(A556="","",MIN('Loan Inputs'!$B$18,MAX(0,C556+E556-'Loan Inputs'!$B$17)))</f>
        <v/>
      </c>
    </row>
    <row r="557" spans="1:8" ht="22" customHeight="1">
      <c r="A557" s="1" t="str">
        <f>IF(AND('Loan Inputs'!$B$12,551&lt;=IF('Loan Inputs'!$B$12,'Loan Inputs'!$B$7,0)*'Loan Inputs'!$B$14+5*'Loan Inputs'!$B$14,ISNUMBER(G556),G556&gt;0),551,"")</f>
        <v/>
      </c>
      <c r="B557" s="4" t="str">
        <f>IF(A557="","",IF('Loan Inputs'!$B$14=12,DATE(YEAR('Loan Inputs'!$B$8),MONTH('Loan Inputs'!$B$8)+A557,DAY('Loan Inputs'!$B$8)),'Loan Inputs'!$B$8+A557*IF('Loan Inputs'!$B$14=26,14,7)))</f>
        <v/>
      </c>
      <c r="C557" s="2" t="str">
        <f t="shared" si="26"/>
        <v/>
      </c>
      <c r="D557" s="2" t="str">
        <f>IF(A557="","",MIN('Loan Inputs'!$B$17,C557+E557)+H557)</f>
        <v/>
      </c>
      <c r="E557" s="2" t="str">
        <f>IF(A557="","",C557*'Loan Inputs'!$B$15)</f>
        <v/>
      </c>
      <c r="F557" s="2" t="str">
        <f t="shared" si="24"/>
        <v/>
      </c>
      <c r="G557" s="2" t="str">
        <f t="shared" si="25"/>
        <v/>
      </c>
      <c r="H557" s="2" t="str">
        <f>IF(A557="","",MIN('Loan Inputs'!$B$18,MAX(0,C557+E557-'Loan Inputs'!$B$17)))</f>
        <v/>
      </c>
    </row>
    <row r="558" spans="1:8" ht="22" customHeight="1">
      <c r="A558" s="1" t="str">
        <f>IF(AND('Loan Inputs'!$B$12,552&lt;=IF('Loan Inputs'!$B$12,'Loan Inputs'!$B$7,0)*'Loan Inputs'!$B$14+5*'Loan Inputs'!$B$14,ISNUMBER(G557),G557&gt;0),552,"")</f>
        <v/>
      </c>
      <c r="B558" s="4" t="str">
        <f>IF(A558="","",IF('Loan Inputs'!$B$14=12,DATE(YEAR('Loan Inputs'!$B$8),MONTH('Loan Inputs'!$B$8)+A558,DAY('Loan Inputs'!$B$8)),'Loan Inputs'!$B$8+A558*IF('Loan Inputs'!$B$14=26,14,7)))</f>
        <v/>
      </c>
      <c r="C558" s="2" t="str">
        <f t="shared" si="26"/>
        <v/>
      </c>
      <c r="D558" s="2" t="str">
        <f>IF(A558="","",MIN('Loan Inputs'!$B$17,C558+E558)+H558)</f>
        <v/>
      </c>
      <c r="E558" s="2" t="str">
        <f>IF(A558="","",C558*'Loan Inputs'!$B$15)</f>
        <v/>
      </c>
      <c r="F558" s="2" t="str">
        <f t="shared" si="24"/>
        <v/>
      </c>
      <c r="G558" s="2" t="str">
        <f t="shared" si="25"/>
        <v/>
      </c>
      <c r="H558" s="2" t="str">
        <f>IF(A558="","",MIN('Loan Inputs'!$B$18,MAX(0,C558+E558-'Loan Inputs'!$B$17)))</f>
        <v/>
      </c>
    </row>
    <row r="559" spans="1:8" ht="22" customHeight="1">
      <c r="A559" s="1" t="str">
        <f>IF(AND('Loan Inputs'!$B$12,553&lt;=IF('Loan Inputs'!$B$12,'Loan Inputs'!$B$7,0)*'Loan Inputs'!$B$14+5*'Loan Inputs'!$B$14,ISNUMBER(G558),G558&gt;0),553,"")</f>
        <v/>
      </c>
      <c r="B559" s="4" t="str">
        <f>IF(A559="","",IF('Loan Inputs'!$B$14=12,DATE(YEAR('Loan Inputs'!$B$8),MONTH('Loan Inputs'!$B$8)+A559,DAY('Loan Inputs'!$B$8)),'Loan Inputs'!$B$8+A559*IF('Loan Inputs'!$B$14=26,14,7)))</f>
        <v/>
      </c>
      <c r="C559" s="2" t="str">
        <f t="shared" si="26"/>
        <v/>
      </c>
      <c r="D559" s="2" t="str">
        <f>IF(A559="","",MIN('Loan Inputs'!$B$17,C559+E559)+H559)</f>
        <v/>
      </c>
      <c r="E559" s="2" t="str">
        <f>IF(A559="","",C559*'Loan Inputs'!$B$15)</f>
        <v/>
      </c>
      <c r="F559" s="2" t="str">
        <f t="shared" si="24"/>
        <v/>
      </c>
      <c r="G559" s="2" t="str">
        <f t="shared" si="25"/>
        <v/>
      </c>
      <c r="H559" s="2" t="str">
        <f>IF(A559="","",MIN('Loan Inputs'!$B$18,MAX(0,C559+E559-'Loan Inputs'!$B$17)))</f>
        <v/>
      </c>
    </row>
    <row r="560" spans="1:8" ht="22" customHeight="1">
      <c r="A560" s="1" t="str">
        <f>IF(AND('Loan Inputs'!$B$12,554&lt;=IF('Loan Inputs'!$B$12,'Loan Inputs'!$B$7,0)*'Loan Inputs'!$B$14+5*'Loan Inputs'!$B$14,ISNUMBER(G559),G559&gt;0),554,"")</f>
        <v/>
      </c>
      <c r="B560" s="4" t="str">
        <f>IF(A560="","",IF('Loan Inputs'!$B$14=12,DATE(YEAR('Loan Inputs'!$B$8),MONTH('Loan Inputs'!$B$8)+A560,DAY('Loan Inputs'!$B$8)),'Loan Inputs'!$B$8+A560*IF('Loan Inputs'!$B$14=26,14,7)))</f>
        <v/>
      </c>
      <c r="C560" s="2" t="str">
        <f t="shared" si="26"/>
        <v/>
      </c>
      <c r="D560" s="2" t="str">
        <f>IF(A560="","",MIN('Loan Inputs'!$B$17,C560+E560)+H560)</f>
        <v/>
      </c>
      <c r="E560" s="2" t="str">
        <f>IF(A560="","",C560*'Loan Inputs'!$B$15)</f>
        <v/>
      </c>
      <c r="F560" s="2" t="str">
        <f t="shared" si="24"/>
        <v/>
      </c>
      <c r="G560" s="2" t="str">
        <f t="shared" si="25"/>
        <v/>
      </c>
      <c r="H560" s="2" t="str">
        <f>IF(A560="","",MIN('Loan Inputs'!$B$18,MAX(0,C560+E560-'Loan Inputs'!$B$17)))</f>
        <v/>
      </c>
    </row>
    <row r="561" spans="1:8" ht="22" customHeight="1">
      <c r="A561" s="1" t="str">
        <f>IF(AND('Loan Inputs'!$B$12,555&lt;=IF('Loan Inputs'!$B$12,'Loan Inputs'!$B$7,0)*'Loan Inputs'!$B$14+5*'Loan Inputs'!$B$14,ISNUMBER(G560),G560&gt;0),555,"")</f>
        <v/>
      </c>
      <c r="B561" s="4" t="str">
        <f>IF(A561="","",IF('Loan Inputs'!$B$14=12,DATE(YEAR('Loan Inputs'!$B$8),MONTH('Loan Inputs'!$B$8)+A561,DAY('Loan Inputs'!$B$8)),'Loan Inputs'!$B$8+A561*IF('Loan Inputs'!$B$14=26,14,7)))</f>
        <v/>
      </c>
      <c r="C561" s="2" t="str">
        <f t="shared" si="26"/>
        <v/>
      </c>
      <c r="D561" s="2" t="str">
        <f>IF(A561="","",MIN('Loan Inputs'!$B$17,C561+E561)+H561)</f>
        <v/>
      </c>
      <c r="E561" s="2" t="str">
        <f>IF(A561="","",C561*'Loan Inputs'!$B$15)</f>
        <v/>
      </c>
      <c r="F561" s="2" t="str">
        <f t="shared" si="24"/>
        <v/>
      </c>
      <c r="G561" s="2" t="str">
        <f t="shared" si="25"/>
        <v/>
      </c>
      <c r="H561" s="2" t="str">
        <f>IF(A561="","",MIN('Loan Inputs'!$B$18,MAX(0,C561+E561-'Loan Inputs'!$B$17)))</f>
        <v/>
      </c>
    </row>
    <row r="562" spans="1:8" ht="22" customHeight="1">
      <c r="A562" s="1" t="str">
        <f>IF(AND('Loan Inputs'!$B$12,556&lt;=IF('Loan Inputs'!$B$12,'Loan Inputs'!$B$7,0)*'Loan Inputs'!$B$14+5*'Loan Inputs'!$B$14,ISNUMBER(G561),G561&gt;0),556,"")</f>
        <v/>
      </c>
      <c r="B562" s="4" t="str">
        <f>IF(A562="","",IF('Loan Inputs'!$B$14=12,DATE(YEAR('Loan Inputs'!$B$8),MONTH('Loan Inputs'!$B$8)+A562,DAY('Loan Inputs'!$B$8)),'Loan Inputs'!$B$8+A562*IF('Loan Inputs'!$B$14=26,14,7)))</f>
        <v/>
      </c>
      <c r="C562" s="2" t="str">
        <f t="shared" si="26"/>
        <v/>
      </c>
      <c r="D562" s="2" t="str">
        <f>IF(A562="","",MIN('Loan Inputs'!$B$17,C562+E562)+H562)</f>
        <v/>
      </c>
      <c r="E562" s="2" t="str">
        <f>IF(A562="","",C562*'Loan Inputs'!$B$15)</f>
        <v/>
      </c>
      <c r="F562" s="2" t="str">
        <f t="shared" si="24"/>
        <v/>
      </c>
      <c r="G562" s="2" t="str">
        <f t="shared" si="25"/>
        <v/>
      </c>
      <c r="H562" s="2" t="str">
        <f>IF(A562="","",MIN('Loan Inputs'!$B$18,MAX(0,C562+E562-'Loan Inputs'!$B$17)))</f>
        <v/>
      </c>
    </row>
    <row r="563" spans="1:8" ht="22" customHeight="1">
      <c r="A563" s="1" t="str">
        <f>IF(AND('Loan Inputs'!$B$12,557&lt;=IF('Loan Inputs'!$B$12,'Loan Inputs'!$B$7,0)*'Loan Inputs'!$B$14+5*'Loan Inputs'!$B$14,ISNUMBER(G562),G562&gt;0),557,"")</f>
        <v/>
      </c>
      <c r="B563" s="4" t="str">
        <f>IF(A563="","",IF('Loan Inputs'!$B$14=12,DATE(YEAR('Loan Inputs'!$B$8),MONTH('Loan Inputs'!$B$8)+A563,DAY('Loan Inputs'!$B$8)),'Loan Inputs'!$B$8+A563*IF('Loan Inputs'!$B$14=26,14,7)))</f>
        <v/>
      </c>
      <c r="C563" s="2" t="str">
        <f t="shared" si="26"/>
        <v/>
      </c>
      <c r="D563" s="2" t="str">
        <f>IF(A563="","",MIN('Loan Inputs'!$B$17,C563+E563)+H563)</f>
        <v/>
      </c>
      <c r="E563" s="2" t="str">
        <f>IF(A563="","",C563*'Loan Inputs'!$B$15)</f>
        <v/>
      </c>
      <c r="F563" s="2" t="str">
        <f t="shared" si="24"/>
        <v/>
      </c>
      <c r="G563" s="2" t="str">
        <f t="shared" si="25"/>
        <v/>
      </c>
      <c r="H563" s="2" t="str">
        <f>IF(A563="","",MIN('Loan Inputs'!$B$18,MAX(0,C563+E563-'Loan Inputs'!$B$17)))</f>
        <v/>
      </c>
    </row>
    <row r="564" spans="1:8" ht="22" customHeight="1">
      <c r="A564" s="1" t="str">
        <f>IF(AND('Loan Inputs'!$B$12,558&lt;=IF('Loan Inputs'!$B$12,'Loan Inputs'!$B$7,0)*'Loan Inputs'!$B$14+5*'Loan Inputs'!$B$14,ISNUMBER(G563),G563&gt;0),558,"")</f>
        <v/>
      </c>
      <c r="B564" s="4" t="str">
        <f>IF(A564="","",IF('Loan Inputs'!$B$14=12,DATE(YEAR('Loan Inputs'!$B$8),MONTH('Loan Inputs'!$B$8)+A564,DAY('Loan Inputs'!$B$8)),'Loan Inputs'!$B$8+A564*IF('Loan Inputs'!$B$14=26,14,7)))</f>
        <v/>
      </c>
      <c r="C564" s="2" t="str">
        <f t="shared" si="26"/>
        <v/>
      </c>
      <c r="D564" s="2" t="str">
        <f>IF(A564="","",MIN('Loan Inputs'!$B$17,C564+E564)+H564)</f>
        <v/>
      </c>
      <c r="E564" s="2" t="str">
        <f>IF(A564="","",C564*'Loan Inputs'!$B$15)</f>
        <v/>
      </c>
      <c r="F564" s="2" t="str">
        <f t="shared" si="24"/>
        <v/>
      </c>
      <c r="G564" s="2" t="str">
        <f t="shared" si="25"/>
        <v/>
      </c>
      <c r="H564" s="2" t="str">
        <f>IF(A564="","",MIN('Loan Inputs'!$B$18,MAX(0,C564+E564-'Loan Inputs'!$B$17)))</f>
        <v/>
      </c>
    </row>
    <row r="565" spans="1:8" ht="22" customHeight="1">
      <c r="A565" s="1" t="str">
        <f>IF(AND('Loan Inputs'!$B$12,559&lt;=IF('Loan Inputs'!$B$12,'Loan Inputs'!$B$7,0)*'Loan Inputs'!$B$14+5*'Loan Inputs'!$B$14,ISNUMBER(G564),G564&gt;0),559,"")</f>
        <v/>
      </c>
      <c r="B565" s="4" t="str">
        <f>IF(A565="","",IF('Loan Inputs'!$B$14=12,DATE(YEAR('Loan Inputs'!$B$8),MONTH('Loan Inputs'!$B$8)+A565,DAY('Loan Inputs'!$B$8)),'Loan Inputs'!$B$8+A565*IF('Loan Inputs'!$B$14=26,14,7)))</f>
        <v/>
      </c>
      <c r="C565" s="2" t="str">
        <f t="shared" si="26"/>
        <v/>
      </c>
      <c r="D565" s="2" t="str">
        <f>IF(A565="","",MIN('Loan Inputs'!$B$17,C565+E565)+H565)</f>
        <v/>
      </c>
      <c r="E565" s="2" t="str">
        <f>IF(A565="","",C565*'Loan Inputs'!$B$15)</f>
        <v/>
      </c>
      <c r="F565" s="2" t="str">
        <f t="shared" si="24"/>
        <v/>
      </c>
      <c r="G565" s="2" t="str">
        <f t="shared" si="25"/>
        <v/>
      </c>
      <c r="H565" s="2" t="str">
        <f>IF(A565="","",MIN('Loan Inputs'!$B$18,MAX(0,C565+E565-'Loan Inputs'!$B$17)))</f>
        <v/>
      </c>
    </row>
    <row r="566" spans="1:8" ht="22" customHeight="1">
      <c r="A566" s="1" t="str">
        <f>IF(AND('Loan Inputs'!$B$12,560&lt;=IF('Loan Inputs'!$B$12,'Loan Inputs'!$B$7,0)*'Loan Inputs'!$B$14+5*'Loan Inputs'!$B$14,ISNUMBER(G565),G565&gt;0),560,"")</f>
        <v/>
      </c>
      <c r="B566" s="4" t="str">
        <f>IF(A566="","",IF('Loan Inputs'!$B$14=12,DATE(YEAR('Loan Inputs'!$B$8),MONTH('Loan Inputs'!$B$8)+A566,DAY('Loan Inputs'!$B$8)),'Loan Inputs'!$B$8+A566*IF('Loan Inputs'!$B$14=26,14,7)))</f>
        <v/>
      </c>
      <c r="C566" s="2" t="str">
        <f t="shared" si="26"/>
        <v/>
      </c>
      <c r="D566" s="2" t="str">
        <f>IF(A566="","",MIN('Loan Inputs'!$B$17,C566+E566)+H566)</f>
        <v/>
      </c>
      <c r="E566" s="2" t="str">
        <f>IF(A566="","",C566*'Loan Inputs'!$B$15)</f>
        <v/>
      </c>
      <c r="F566" s="2" t="str">
        <f t="shared" si="24"/>
        <v/>
      </c>
      <c r="G566" s="2" t="str">
        <f t="shared" si="25"/>
        <v/>
      </c>
      <c r="H566" s="2" t="str">
        <f>IF(A566="","",MIN('Loan Inputs'!$B$18,MAX(0,C566+E566-'Loan Inputs'!$B$17)))</f>
        <v/>
      </c>
    </row>
    <row r="567" spans="1:8" ht="22" customHeight="1">
      <c r="A567" s="1" t="str">
        <f>IF(AND('Loan Inputs'!$B$12,561&lt;=IF('Loan Inputs'!$B$12,'Loan Inputs'!$B$7,0)*'Loan Inputs'!$B$14+5*'Loan Inputs'!$B$14,ISNUMBER(G566),G566&gt;0),561,"")</f>
        <v/>
      </c>
      <c r="B567" s="4" t="str">
        <f>IF(A567="","",IF('Loan Inputs'!$B$14=12,DATE(YEAR('Loan Inputs'!$B$8),MONTH('Loan Inputs'!$B$8)+A567,DAY('Loan Inputs'!$B$8)),'Loan Inputs'!$B$8+A567*IF('Loan Inputs'!$B$14=26,14,7)))</f>
        <v/>
      </c>
      <c r="C567" s="2" t="str">
        <f t="shared" si="26"/>
        <v/>
      </c>
      <c r="D567" s="2" t="str">
        <f>IF(A567="","",MIN('Loan Inputs'!$B$17,C567+E567)+H567)</f>
        <v/>
      </c>
      <c r="E567" s="2" t="str">
        <f>IF(A567="","",C567*'Loan Inputs'!$B$15)</f>
        <v/>
      </c>
      <c r="F567" s="2" t="str">
        <f t="shared" si="24"/>
        <v/>
      </c>
      <c r="G567" s="2" t="str">
        <f t="shared" si="25"/>
        <v/>
      </c>
      <c r="H567" s="2" t="str">
        <f>IF(A567="","",MIN('Loan Inputs'!$B$18,MAX(0,C567+E567-'Loan Inputs'!$B$17)))</f>
        <v/>
      </c>
    </row>
    <row r="568" spans="1:8" ht="22" customHeight="1">
      <c r="A568" s="1" t="str">
        <f>IF(AND('Loan Inputs'!$B$12,562&lt;=IF('Loan Inputs'!$B$12,'Loan Inputs'!$B$7,0)*'Loan Inputs'!$B$14+5*'Loan Inputs'!$B$14,ISNUMBER(G567),G567&gt;0),562,"")</f>
        <v/>
      </c>
      <c r="B568" s="4" t="str">
        <f>IF(A568="","",IF('Loan Inputs'!$B$14=12,DATE(YEAR('Loan Inputs'!$B$8),MONTH('Loan Inputs'!$B$8)+A568,DAY('Loan Inputs'!$B$8)),'Loan Inputs'!$B$8+A568*IF('Loan Inputs'!$B$14=26,14,7)))</f>
        <v/>
      </c>
      <c r="C568" s="2" t="str">
        <f t="shared" si="26"/>
        <v/>
      </c>
      <c r="D568" s="2" t="str">
        <f>IF(A568="","",MIN('Loan Inputs'!$B$17,C568+E568)+H568)</f>
        <v/>
      </c>
      <c r="E568" s="2" t="str">
        <f>IF(A568="","",C568*'Loan Inputs'!$B$15)</f>
        <v/>
      </c>
      <c r="F568" s="2" t="str">
        <f t="shared" si="24"/>
        <v/>
      </c>
      <c r="G568" s="2" t="str">
        <f t="shared" si="25"/>
        <v/>
      </c>
      <c r="H568" s="2" t="str">
        <f>IF(A568="","",MIN('Loan Inputs'!$B$18,MAX(0,C568+E568-'Loan Inputs'!$B$17)))</f>
        <v/>
      </c>
    </row>
    <row r="569" spans="1:8" ht="22" customHeight="1">
      <c r="A569" s="1" t="str">
        <f>IF(AND('Loan Inputs'!$B$12,563&lt;=IF('Loan Inputs'!$B$12,'Loan Inputs'!$B$7,0)*'Loan Inputs'!$B$14+5*'Loan Inputs'!$B$14,ISNUMBER(G568),G568&gt;0),563,"")</f>
        <v/>
      </c>
      <c r="B569" s="4" t="str">
        <f>IF(A569="","",IF('Loan Inputs'!$B$14=12,DATE(YEAR('Loan Inputs'!$B$8),MONTH('Loan Inputs'!$B$8)+A569,DAY('Loan Inputs'!$B$8)),'Loan Inputs'!$B$8+A569*IF('Loan Inputs'!$B$14=26,14,7)))</f>
        <v/>
      </c>
      <c r="C569" s="2" t="str">
        <f t="shared" si="26"/>
        <v/>
      </c>
      <c r="D569" s="2" t="str">
        <f>IF(A569="","",MIN('Loan Inputs'!$B$17,C569+E569)+H569)</f>
        <v/>
      </c>
      <c r="E569" s="2" t="str">
        <f>IF(A569="","",C569*'Loan Inputs'!$B$15)</f>
        <v/>
      </c>
      <c r="F569" s="2" t="str">
        <f t="shared" si="24"/>
        <v/>
      </c>
      <c r="G569" s="2" t="str">
        <f t="shared" si="25"/>
        <v/>
      </c>
      <c r="H569" s="2" t="str">
        <f>IF(A569="","",MIN('Loan Inputs'!$B$18,MAX(0,C569+E569-'Loan Inputs'!$B$17)))</f>
        <v/>
      </c>
    </row>
    <row r="570" spans="1:8" ht="22" customHeight="1">
      <c r="A570" s="1" t="str">
        <f>IF(AND('Loan Inputs'!$B$12,564&lt;=IF('Loan Inputs'!$B$12,'Loan Inputs'!$B$7,0)*'Loan Inputs'!$B$14+5*'Loan Inputs'!$B$14,ISNUMBER(G569),G569&gt;0),564,"")</f>
        <v/>
      </c>
      <c r="B570" s="4" t="str">
        <f>IF(A570="","",IF('Loan Inputs'!$B$14=12,DATE(YEAR('Loan Inputs'!$B$8),MONTH('Loan Inputs'!$B$8)+A570,DAY('Loan Inputs'!$B$8)),'Loan Inputs'!$B$8+A570*IF('Loan Inputs'!$B$14=26,14,7)))</f>
        <v/>
      </c>
      <c r="C570" s="2" t="str">
        <f t="shared" si="26"/>
        <v/>
      </c>
      <c r="D570" s="2" t="str">
        <f>IF(A570="","",MIN('Loan Inputs'!$B$17,C570+E570)+H570)</f>
        <v/>
      </c>
      <c r="E570" s="2" t="str">
        <f>IF(A570="","",C570*'Loan Inputs'!$B$15)</f>
        <v/>
      </c>
      <c r="F570" s="2" t="str">
        <f t="shared" si="24"/>
        <v/>
      </c>
      <c r="G570" s="2" t="str">
        <f t="shared" si="25"/>
        <v/>
      </c>
      <c r="H570" s="2" t="str">
        <f>IF(A570="","",MIN('Loan Inputs'!$B$18,MAX(0,C570+E570-'Loan Inputs'!$B$17)))</f>
        <v/>
      </c>
    </row>
    <row r="571" spans="1:8" ht="22" customHeight="1">
      <c r="A571" s="1" t="str">
        <f>IF(AND('Loan Inputs'!$B$12,565&lt;=IF('Loan Inputs'!$B$12,'Loan Inputs'!$B$7,0)*'Loan Inputs'!$B$14+5*'Loan Inputs'!$B$14,ISNUMBER(G570),G570&gt;0),565,"")</f>
        <v/>
      </c>
      <c r="B571" s="4" t="str">
        <f>IF(A571="","",IF('Loan Inputs'!$B$14=12,DATE(YEAR('Loan Inputs'!$B$8),MONTH('Loan Inputs'!$B$8)+A571,DAY('Loan Inputs'!$B$8)),'Loan Inputs'!$B$8+A571*IF('Loan Inputs'!$B$14=26,14,7)))</f>
        <v/>
      </c>
      <c r="C571" s="2" t="str">
        <f t="shared" si="26"/>
        <v/>
      </c>
      <c r="D571" s="2" t="str">
        <f>IF(A571="","",MIN('Loan Inputs'!$B$17,C571+E571)+H571)</f>
        <v/>
      </c>
      <c r="E571" s="2" t="str">
        <f>IF(A571="","",C571*'Loan Inputs'!$B$15)</f>
        <v/>
      </c>
      <c r="F571" s="2" t="str">
        <f t="shared" si="24"/>
        <v/>
      </c>
      <c r="G571" s="2" t="str">
        <f t="shared" si="25"/>
        <v/>
      </c>
      <c r="H571" s="2" t="str">
        <f>IF(A571="","",MIN('Loan Inputs'!$B$18,MAX(0,C571+E571-'Loan Inputs'!$B$17)))</f>
        <v/>
      </c>
    </row>
    <row r="572" spans="1:8" ht="22" customHeight="1">
      <c r="A572" s="1" t="str">
        <f>IF(AND('Loan Inputs'!$B$12,566&lt;=IF('Loan Inputs'!$B$12,'Loan Inputs'!$B$7,0)*'Loan Inputs'!$B$14+5*'Loan Inputs'!$B$14,ISNUMBER(G571),G571&gt;0),566,"")</f>
        <v/>
      </c>
      <c r="B572" s="4" t="str">
        <f>IF(A572="","",IF('Loan Inputs'!$B$14=12,DATE(YEAR('Loan Inputs'!$B$8),MONTH('Loan Inputs'!$B$8)+A572,DAY('Loan Inputs'!$B$8)),'Loan Inputs'!$B$8+A572*IF('Loan Inputs'!$B$14=26,14,7)))</f>
        <v/>
      </c>
      <c r="C572" s="2" t="str">
        <f t="shared" si="26"/>
        <v/>
      </c>
      <c r="D572" s="2" t="str">
        <f>IF(A572="","",MIN('Loan Inputs'!$B$17,C572+E572)+H572)</f>
        <v/>
      </c>
      <c r="E572" s="2" t="str">
        <f>IF(A572="","",C572*'Loan Inputs'!$B$15)</f>
        <v/>
      </c>
      <c r="F572" s="2" t="str">
        <f t="shared" si="24"/>
        <v/>
      </c>
      <c r="G572" s="2" t="str">
        <f t="shared" si="25"/>
        <v/>
      </c>
      <c r="H572" s="2" t="str">
        <f>IF(A572="","",MIN('Loan Inputs'!$B$18,MAX(0,C572+E572-'Loan Inputs'!$B$17)))</f>
        <v/>
      </c>
    </row>
    <row r="573" spans="1:8" ht="22" customHeight="1">
      <c r="A573" s="1" t="str">
        <f>IF(AND('Loan Inputs'!$B$12,567&lt;=IF('Loan Inputs'!$B$12,'Loan Inputs'!$B$7,0)*'Loan Inputs'!$B$14+5*'Loan Inputs'!$B$14,ISNUMBER(G572),G572&gt;0),567,"")</f>
        <v/>
      </c>
      <c r="B573" s="4" t="str">
        <f>IF(A573="","",IF('Loan Inputs'!$B$14=12,DATE(YEAR('Loan Inputs'!$B$8),MONTH('Loan Inputs'!$B$8)+A573,DAY('Loan Inputs'!$B$8)),'Loan Inputs'!$B$8+A573*IF('Loan Inputs'!$B$14=26,14,7)))</f>
        <v/>
      </c>
      <c r="C573" s="2" t="str">
        <f t="shared" si="26"/>
        <v/>
      </c>
      <c r="D573" s="2" t="str">
        <f>IF(A573="","",MIN('Loan Inputs'!$B$17,C573+E573)+H573)</f>
        <v/>
      </c>
      <c r="E573" s="2" t="str">
        <f>IF(A573="","",C573*'Loan Inputs'!$B$15)</f>
        <v/>
      </c>
      <c r="F573" s="2" t="str">
        <f t="shared" si="24"/>
        <v/>
      </c>
      <c r="G573" s="2" t="str">
        <f t="shared" si="25"/>
        <v/>
      </c>
      <c r="H573" s="2" t="str">
        <f>IF(A573="","",MIN('Loan Inputs'!$B$18,MAX(0,C573+E573-'Loan Inputs'!$B$17)))</f>
        <v/>
      </c>
    </row>
    <row r="574" spans="1:8" ht="22" customHeight="1">
      <c r="A574" s="1" t="str">
        <f>IF(AND('Loan Inputs'!$B$12,568&lt;=IF('Loan Inputs'!$B$12,'Loan Inputs'!$B$7,0)*'Loan Inputs'!$B$14+5*'Loan Inputs'!$B$14,ISNUMBER(G573),G573&gt;0),568,"")</f>
        <v/>
      </c>
      <c r="B574" s="4" t="str">
        <f>IF(A574="","",IF('Loan Inputs'!$B$14=12,DATE(YEAR('Loan Inputs'!$B$8),MONTH('Loan Inputs'!$B$8)+A574,DAY('Loan Inputs'!$B$8)),'Loan Inputs'!$B$8+A574*IF('Loan Inputs'!$B$14=26,14,7)))</f>
        <v/>
      </c>
      <c r="C574" s="2" t="str">
        <f t="shared" si="26"/>
        <v/>
      </c>
      <c r="D574" s="2" t="str">
        <f>IF(A574="","",MIN('Loan Inputs'!$B$17,C574+E574)+H574)</f>
        <v/>
      </c>
      <c r="E574" s="2" t="str">
        <f>IF(A574="","",C574*'Loan Inputs'!$B$15)</f>
        <v/>
      </c>
      <c r="F574" s="2" t="str">
        <f t="shared" si="24"/>
        <v/>
      </c>
      <c r="G574" s="2" t="str">
        <f t="shared" si="25"/>
        <v/>
      </c>
      <c r="H574" s="2" t="str">
        <f>IF(A574="","",MIN('Loan Inputs'!$B$18,MAX(0,C574+E574-'Loan Inputs'!$B$17)))</f>
        <v/>
      </c>
    </row>
    <row r="575" spans="1:8" ht="22" customHeight="1">
      <c r="A575" s="1" t="str">
        <f>IF(AND('Loan Inputs'!$B$12,569&lt;=IF('Loan Inputs'!$B$12,'Loan Inputs'!$B$7,0)*'Loan Inputs'!$B$14+5*'Loan Inputs'!$B$14,ISNUMBER(G574),G574&gt;0),569,"")</f>
        <v/>
      </c>
      <c r="B575" s="4" t="str">
        <f>IF(A575="","",IF('Loan Inputs'!$B$14=12,DATE(YEAR('Loan Inputs'!$B$8),MONTH('Loan Inputs'!$B$8)+A575,DAY('Loan Inputs'!$B$8)),'Loan Inputs'!$B$8+A575*IF('Loan Inputs'!$B$14=26,14,7)))</f>
        <v/>
      </c>
      <c r="C575" s="2" t="str">
        <f t="shared" si="26"/>
        <v/>
      </c>
      <c r="D575" s="2" t="str">
        <f>IF(A575="","",MIN('Loan Inputs'!$B$17,C575+E575)+H575)</f>
        <v/>
      </c>
      <c r="E575" s="2" t="str">
        <f>IF(A575="","",C575*'Loan Inputs'!$B$15)</f>
        <v/>
      </c>
      <c r="F575" s="2" t="str">
        <f t="shared" si="24"/>
        <v/>
      </c>
      <c r="G575" s="2" t="str">
        <f t="shared" si="25"/>
        <v/>
      </c>
      <c r="H575" s="2" t="str">
        <f>IF(A575="","",MIN('Loan Inputs'!$B$18,MAX(0,C575+E575-'Loan Inputs'!$B$17)))</f>
        <v/>
      </c>
    </row>
    <row r="576" spans="1:8" ht="22" customHeight="1">
      <c r="A576" s="1" t="str">
        <f>IF(AND('Loan Inputs'!$B$12,570&lt;=IF('Loan Inputs'!$B$12,'Loan Inputs'!$B$7,0)*'Loan Inputs'!$B$14+5*'Loan Inputs'!$B$14,ISNUMBER(G575),G575&gt;0),570,"")</f>
        <v/>
      </c>
      <c r="B576" s="4" t="str">
        <f>IF(A576="","",IF('Loan Inputs'!$B$14=12,DATE(YEAR('Loan Inputs'!$B$8),MONTH('Loan Inputs'!$B$8)+A576,DAY('Loan Inputs'!$B$8)),'Loan Inputs'!$B$8+A576*IF('Loan Inputs'!$B$14=26,14,7)))</f>
        <v/>
      </c>
      <c r="C576" s="2" t="str">
        <f t="shared" si="26"/>
        <v/>
      </c>
      <c r="D576" s="2" t="str">
        <f>IF(A576="","",MIN('Loan Inputs'!$B$17,C576+E576)+H576)</f>
        <v/>
      </c>
      <c r="E576" s="2" t="str">
        <f>IF(A576="","",C576*'Loan Inputs'!$B$15)</f>
        <v/>
      </c>
      <c r="F576" s="2" t="str">
        <f t="shared" si="24"/>
        <v/>
      </c>
      <c r="G576" s="2" t="str">
        <f t="shared" si="25"/>
        <v/>
      </c>
      <c r="H576" s="2" t="str">
        <f>IF(A576="","",MIN('Loan Inputs'!$B$18,MAX(0,C576+E576-'Loan Inputs'!$B$17)))</f>
        <v/>
      </c>
    </row>
    <row r="577" spans="1:8" ht="22" customHeight="1">
      <c r="A577" s="1" t="str">
        <f>IF(AND('Loan Inputs'!$B$12,571&lt;=IF('Loan Inputs'!$B$12,'Loan Inputs'!$B$7,0)*'Loan Inputs'!$B$14+5*'Loan Inputs'!$B$14,ISNUMBER(G576),G576&gt;0),571,"")</f>
        <v/>
      </c>
      <c r="B577" s="4" t="str">
        <f>IF(A577="","",IF('Loan Inputs'!$B$14=12,DATE(YEAR('Loan Inputs'!$B$8),MONTH('Loan Inputs'!$B$8)+A577,DAY('Loan Inputs'!$B$8)),'Loan Inputs'!$B$8+A577*IF('Loan Inputs'!$B$14=26,14,7)))</f>
        <v/>
      </c>
      <c r="C577" s="2" t="str">
        <f t="shared" si="26"/>
        <v/>
      </c>
      <c r="D577" s="2" t="str">
        <f>IF(A577="","",MIN('Loan Inputs'!$B$17,C577+E577)+H577)</f>
        <v/>
      </c>
      <c r="E577" s="2" t="str">
        <f>IF(A577="","",C577*'Loan Inputs'!$B$15)</f>
        <v/>
      </c>
      <c r="F577" s="2" t="str">
        <f t="shared" si="24"/>
        <v/>
      </c>
      <c r="G577" s="2" t="str">
        <f t="shared" si="25"/>
        <v/>
      </c>
      <c r="H577" s="2" t="str">
        <f>IF(A577="","",MIN('Loan Inputs'!$B$18,MAX(0,C577+E577-'Loan Inputs'!$B$17)))</f>
        <v/>
      </c>
    </row>
    <row r="578" spans="1:8" ht="22" customHeight="1">
      <c r="A578" s="1" t="str">
        <f>IF(AND('Loan Inputs'!$B$12,572&lt;=IF('Loan Inputs'!$B$12,'Loan Inputs'!$B$7,0)*'Loan Inputs'!$B$14+5*'Loan Inputs'!$B$14,ISNUMBER(G577),G577&gt;0),572,"")</f>
        <v/>
      </c>
      <c r="B578" s="4" t="str">
        <f>IF(A578="","",IF('Loan Inputs'!$B$14=12,DATE(YEAR('Loan Inputs'!$B$8),MONTH('Loan Inputs'!$B$8)+A578,DAY('Loan Inputs'!$B$8)),'Loan Inputs'!$B$8+A578*IF('Loan Inputs'!$B$14=26,14,7)))</f>
        <v/>
      </c>
      <c r="C578" s="2" t="str">
        <f t="shared" si="26"/>
        <v/>
      </c>
      <c r="D578" s="2" t="str">
        <f>IF(A578="","",MIN('Loan Inputs'!$B$17,C578+E578)+H578)</f>
        <v/>
      </c>
      <c r="E578" s="2" t="str">
        <f>IF(A578="","",C578*'Loan Inputs'!$B$15)</f>
        <v/>
      </c>
      <c r="F578" s="2" t="str">
        <f t="shared" si="24"/>
        <v/>
      </c>
      <c r="G578" s="2" t="str">
        <f t="shared" si="25"/>
        <v/>
      </c>
      <c r="H578" s="2" t="str">
        <f>IF(A578="","",MIN('Loan Inputs'!$B$18,MAX(0,C578+E578-'Loan Inputs'!$B$17)))</f>
        <v/>
      </c>
    </row>
    <row r="579" spans="1:8" ht="22" customHeight="1">
      <c r="A579" s="1" t="str">
        <f>IF(AND('Loan Inputs'!$B$12,573&lt;=IF('Loan Inputs'!$B$12,'Loan Inputs'!$B$7,0)*'Loan Inputs'!$B$14+5*'Loan Inputs'!$B$14,ISNUMBER(G578),G578&gt;0),573,"")</f>
        <v/>
      </c>
      <c r="B579" s="4" t="str">
        <f>IF(A579="","",IF('Loan Inputs'!$B$14=12,DATE(YEAR('Loan Inputs'!$B$8),MONTH('Loan Inputs'!$B$8)+A579,DAY('Loan Inputs'!$B$8)),'Loan Inputs'!$B$8+A579*IF('Loan Inputs'!$B$14=26,14,7)))</f>
        <v/>
      </c>
      <c r="C579" s="2" t="str">
        <f t="shared" si="26"/>
        <v/>
      </c>
      <c r="D579" s="2" t="str">
        <f>IF(A579="","",MIN('Loan Inputs'!$B$17,C579+E579)+H579)</f>
        <v/>
      </c>
      <c r="E579" s="2" t="str">
        <f>IF(A579="","",C579*'Loan Inputs'!$B$15)</f>
        <v/>
      </c>
      <c r="F579" s="2" t="str">
        <f t="shared" si="24"/>
        <v/>
      </c>
      <c r="G579" s="2" t="str">
        <f t="shared" si="25"/>
        <v/>
      </c>
      <c r="H579" s="2" t="str">
        <f>IF(A579="","",MIN('Loan Inputs'!$B$18,MAX(0,C579+E579-'Loan Inputs'!$B$17)))</f>
        <v/>
      </c>
    </row>
    <row r="580" spans="1:8" ht="22" customHeight="1">
      <c r="A580" s="1" t="str">
        <f>IF(AND('Loan Inputs'!$B$12,574&lt;=IF('Loan Inputs'!$B$12,'Loan Inputs'!$B$7,0)*'Loan Inputs'!$B$14+5*'Loan Inputs'!$B$14,ISNUMBER(G579),G579&gt;0),574,"")</f>
        <v/>
      </c>
      <c r="B580" s="4" t="str">
        <f>IF(A580="","",IF('Loan Inputs'!$B$14=12,DATE(YEAR('Loan Inputs'!$B$8),MONTH('Loan Inputs'!$B$8)+A580,DAY('Loan Inputs'!$B$8)),'Loan Inputs'!$B$8+A580*IF('Loan Inputs'!$B$14=26,14,7)))</f>
        <v/>
      </c>
      <c r="C580" s="2" t="str">
        <f t="shared" si="26"/>
        <v/>
      </c>
      <c r="D580" s="2" t="str">
        <f>IF(A580="","",MIN('Loan Inputs'!$B$17,C580+E580)+H580)</f>
        <v/>
      </c>
      <c r="E580" s="2" t="str">
        <f>IF(A580="","",C580*'Loan Inputs'!$B$15)</f>
        <v/>
      </c>
      <c r="F580" s="2" t="str">
        <f t="shared" si="24"/>
        <v/>
      </c>
      <c r="G580" s="2" t="str">
        <f t="shared" si="25"/>
        <v/>
      </c>
      <c r="H580" s="2" t="str">
        <f>IF(A580="","",MIN('Loan Inputs'!$B$18,MAX(0,C580+E580-'Loan Inputs'!$B$17)))</f>
        <v/>
      </c>
    </row>
    <row r="581" spans="1:8" ht="22" customHeight="1">
      <c r="A581" s="1" t="str">
        <f>IF(AND('Loan Inputs'!$B$12,575&lt;=IF('Loan Inputs'!$B$12,'Loan Inputs'!$B$7,0)*'Loan Inputs'!$B$14+5*'Loan Inputs'!$B$14,ISNUMBER(G580),G580&gt;0),575,"")</f>
        <v/>
      </c>
      <c r="B581" s="4" t="str">
        <f>IF(A581="","",IF('Loan Inputs'!$B$14=12,DATE(YEAR('Loan Inputs'!$B$8),MONTH('Loan Inputs'!$B$8)+A581,DAY('Loan Inputs'!$B$8)),'Loan Inputs'!$B$8+A581*IF('Loan Inputs'!$B$14=26,14,7)))</f>
        <v/>
      </c>
      <c r="C581" s="2" t="str">
        <f t="shared" si="26"/>
        <v/>
      </c>
      <c r="D581" s="2" t="str">
        <f>IF(A581="","",MIN('Loan Inputs'!$B$17,C581+E581)+H581)</f>
        <v/>
      </c>
      <c r="E581" s="2" t="str">
        <f>IF(A581="","",C581*'Loan Inputs'!$B$15)</f>
        <v/>
      </c>
      <c r="F581" s="2" t="str">
        <f t="shared" si="24"/>
        <v/>
      </c>
      <c r="G581" s="2" t="str">
        <f t="shared" si="25"/>
        <v/>
      </c>
      <c r="H581" s="2" t="str">
        <f>IF(A581="","",MIN('Loan Inputs'!$B$18,MAX(0,C581+E581-'Loan Inputs'!$B$17)))</f>
        <v/>
      </c>
    </row>
    <row r="582" spans="1:8" ht="22" customHeight="1">
      <c r="A582" s="1" t="str">
        <f>IF(AND('Loan Inputs'!$B$12,576&lt;=IF('Loan Inputs'!$B$12,'Loan Inputs'!$B$7,0)*'Loan Inputs'!$B$14+5*'Loan Inputs'!$B$14,ISNUMBER(G581),G581&gt;0),576,"")</f>
        <v/>
      </c>
      <c r="B582" s="4" t="str">
        <f>IF(A582="","",IF('Loan Inputs'!$B$14=12,DATE(YEAR('Loan Inputs'!$B$8),MONTH('Loan Inputs'!$B$8)+A582,DAY('Loan Inputs'!$B$8)),'Loan Inputs'!$B$8+A582*IF('Loan Inputs'!$B$14=26,14,7)))</f>
        <v/>
      </c>
      <c r="C582" s="2" t="str">
        <f t="shared" si="26"/>
        <v/>
      </c>
      <c r="D582" s="2" t="str">
        <f>IF(A582="","",MIN('Loan Inputs'!$B$17,C582+E582)+H582)</f>
        <v/>
      </c>
      <c r="E582" s="2" t="str">
        <f>IF(A582="","",C582*'Loan Inputs'!$B$15)</f>
        <v/>
      </c>
      <c r="F582" s="2" t="str">
        <f t="shared" si="24"/>
        <v/>
      </c>
      <c r="G582" s="2" t="str">
        <f t="shared" si="25"/>
        <v/>
      </c>
      <c r="H582" s="2" t="str">
        <f>IF(A582="","",MIN('Loan Inputs'!$B$18,MAX(0,C582+E582-'Loan Inputs'!$B$17)))</f>
        <v/>
      </c>
    </row>
    <row r="583" spans="1:8" ht="22" customHeight="1">
      <c r="A583" s="1" t="str">
        <f>IF(AND('Loan Inputs'!$B$12,577&lt;=IF('Loan Inputs'!$B$12,'Loan Inputs'!$B$7,0)*'Loan Inputs'!$B$14+5*'Loan Inputs'!$B$14,ISNUMBER(G582),G582&gt;0),577,"")</f>
        <v/>
      </c>
      <c r="B583" s="4" t="str">
        <f>IF(A583="","",IF('Loan Inputs'!$B$14=12,DATE(YEAR('Loan Inputs'!$B$8),MONTH('Loan Inputs'!$B$8)+A583,DAY('Loan Inputs'!$B$8)),'Loan Inputs'!$B$8+A583*IF('Loan Inputs'!$B$14=26,14,7)))</f>
        <v/>
      </c>
      <c r="C583" s="2" t="str">
        <f t="shared" si="26"/>
        <v/>
      </c>
      <c r="D583" s="2" t="str">
        <f>IF(A583="","",MIN('Loan Inputs'!$B$17,C583+E583)+H583)</f>
        <v/>
      </c>
      <c r="E583" s="2" t="str">
        <f>IF(A583="","",C583*'Loan Inputs'!$B$15)</f>
        <v/>
      </c>
      <c r="F583" s="2" t="str">
        <f t="shared" ref="F583:F646" si="27">IF(A583="","",MIN(C583,D583-E583))</f>
        <v/>
      </c>
      <c r="G583" s="2" t="str">
        <f t="shared" ref="G583:G646" si="28">IF(A583="","",IF(C583-F583&lt;0.0000001,0,MAX(0,C583-F583)))</f>
        <v/>
      </c>
      <c r="H583" s="2" t="str">
        <f>IF(A583="","",MIN('Loan Inputs'!$B$18,MAX(0,C583+E583-'Loan Inputs'!$B$17)))</f>
        <v/>
      </c>
    </row>
    <row r="584" spans="1:8" ht="22" customHeight="1">
      <c r="A584" s="1" t="str">
        <f>IF(AND('Loan Inputs'!$B$12,578&lt;=IF('Loan Inputs'!$B$12,'Loan Inputs'!$B$7,0)*'Loan Inputs'!$B$14+5*'Loan Inputs'!$B$14,ISNUMBER(G583),G583&gt;0),578,"")</f>
        <v/>
      </c>
      <c r="B584" s="4" t="str">
        <f>IF(A584="","",IF('Loan Inputs'!$B$14=12,DATE(YEAR('Loan Inputs'!$B$8),MONTH('Loan Inputs'!$B$8)+A584,DAY('Loan Inputs'!$B$8)),'Loan Inputs'!$B$8+A584*IF('Loan Inputs'!$B$14=26,14,7)))</f>
        <v/>
      </c>
      <c r="C584" s="2" t="str">
        <f t="shared" ref="C584:C647" si="29">IF(A584="","",G583)</f>
        <v/>
      </c>
      <c r="D584" s="2" t="str">
        <f>IF(A584="","",MIN('Loan Inputs'!$B$17,C584+E584)+H584)</f>
        <v/>
      </c>
      <c r="E584" s="2" t="str">
        <f>IF(A584="","",C584*'Loan Inputs'!$B$15)</f>
        <v/>
      </c>
      <c r="F584" s="2" t="str">
        <f t="shared" si="27"/>
        <v/>
      </c>
      <c r="G584" s="2" t="str">
        <f t="shared" si="28"/>
        <v/>
      </c>
      <c r="H584" s="2" t="str">
        <f>IF(A584="","",MIN('Loan Inputs'!$B$18,MAX(0,C584+E584-'Loan Inputs'!$B$17)))</f>
        <v/>
      </c>
    </row>
    <row r="585" spans="1:8" ht="22" customHeight="1">
      <c r="A585" s="1" t="str">
        <f>IF(AND('Loan Inputs'!$B$12,579&lt;=IF('Loan Inputs'!$B$12,'Loan Inputs'!$B$7,0)*'Loan Inputs'!$B$14+5*'Loan Inputs'!$B$14,ISNUMBER(G584),G584&gt;0),579,"")</f>
        <v/>
      </c>
      <c r="B585" s="4" t="str">
        <f>IF(A585="","",IF('Loan Inputs'!$B$14=12,DATE(YEAR('Loan Inputs'!$B$8),MONTH('Loan Inputs'!$B$8)+A585,DAY('Loan Inputs'!$B$8)),'Loan Inputs'!$B$8+A585*IF('Loan Inputs'!$B$14=26,14,7)))</f>
        <v/>
      </c>
      <c r="C585" s="2" t="str">
        <f t="shared" si="29"/>
        <v/>
      </c>
      <c r="D585" s="2" t="str">
        <f>IF(A585="","",MIN('Loan Inputs'!$B$17,C585+E585)+H585)</f>
        <v/>
      </c>
      <c r="E585" s="2" t="str">
        <f>IF(A585="","",C585*'Loan Inputs'!$B$15)</f>
        <v/>
      </c>
      <c r="F585" s="2" t="str">
        <f t="shared" si="27"/>
        <v/>
      </c>
      <c r="G585" s="2" t="str">
        <f t="shared" si="28"/>
        <v/>
      </c>
      <c r="H585" s="2" t="str">
        <f>IF(A585="","",MIN('Loan Inputs'!$B$18,MAX(0,C585+E585-'Loan Inputs'!$B$17)))</f>
        <v/>
      </c>
    </row>
    <row r="586" spans="1:8" ht="22" customHeight="1">
      <c r="A586" s="1" t="str">
        <f>IF(AND('Loan Inputs'!$B$12,580&lt;=IF('Loan Inputs'!$B$12,'Loan Inputs'!$B$7,0)*'Loan Inputs'!$B$14+5*'Loan Inputs'!$B$14,ISNUMBER(G585),G585&gt;0),580,"")</f>
        <v/>
      </c>
      <c r="B586" s="4" t="str">
        <f>IF(A586="","",IF('Loan Inputs'!$B$14=12,DATE(YEAR('Loan Inputs'!$B$8),MONTH('Loan Inputs'!$B$8)+A586,DAY('Loan Inputs'!$B$8)),'Loan Inputs'!$B$8+A586*IF('Loan Inputs'!$B$14=26,14,7)))</f>
        <v/>
      </c>
      <c r="C586" s="2" t="str">
        <f t="shared" si="29"/>
        <v/>
      </c>
      <c r="D586" s="2" t="str">
        <f>IF(A586="","",MIN('Loan Inputs'!$B$17,C586+E586)+H586)</f>
        <v/>
      </c>
      <c r="E586" s="2" t="str">
        <f>IF(A586="","",C586*'Loan Inputs'!$B$15)</f>
        <v/>
      </c>
      <c r="F586" s="2" t="str">
        <f t="shared" si="27"/>
        <v/>
      </c>
      <c r="G586" s="2" t="str">
        <f t="shared" si="28"/>
        <v/>
      </c>
      <c r="H586" s="2" t="str">
        <f>IF(A586="","",MIN('Loan Inputs'!$B$18,MAX(0,C586+E586-'Loan Inputs'!$B$17)))</f>
        <v/>
      </c>
    </row>
    <row r="587" spans="1:8" ht="22" customHeight="1">
      <c r="A587" s="1" t="str">
        <f>IF(AND('Loan Inputs'!$B$12,581&lt;=IF('Loan Inputs'!$B$12,'Loan Inputs'!$B$7,0)*'Loan Inputs'!$B$14+5*'Loan Inputs'!$B$14,ISNUMBER(G586),G586&gt;0),581,"")</f>
        <v/>
      </c>
      <c r="B587" s="4" t="str">
        <f>IF(A587="","",IF('Loan Inputs'!$B$14=12,DATE(YEAR('Loan Inputs'!$B$8),MONTH('Loan Inputs'!$B$8)+A587,DAY('Loan Inputs'!$B$8)),'Loan Inputs'!$B$8+A587*IF('Loan Inputs'!$B$14=26,14,7)))</f>
        <v/>
      </c>
      <c r="C587" s="2" t="str">
        <f t="shared" si="29"/>
        <v/>
      </c>
      <c r="D587" s="2" t="str">
        <f>IF(A587="","",MIN('Loan Inputs'!$B$17,C587+E587)+H587)</f>
        <v/>
      </c>
      <c r="E587" s="2" t="str">
        <f>IF(A587="","",C587*'Loan Inputs'!$B$15)</f>
        <v/>
      </c>
      <c r="F587" s="2" t="str">
        <f t="shared" si="27"/>
        <v/>
      </c>
      <c r="G587" s="2" t="str">
        <f t="shared" si="28"/>
        <v/>
      </c>
      <c r="H587" s="2" t="str">
        <f>IF(A587="","",MIN('Loan Inputs'!$B$18,MAX(0,C587+E587-'Loan Inputs'!$B$17)))</f>
        <v/>
      </c>
    </row>
    <row r="588" spans="1:8" ht="22" customHeight="1">
      <c r="A588" s="1" t="str">
        <f>IF(AND('Loan Inputs'!$B$12,582&lt;=IF('Loan Inputs'!$B$12,'Loan Inputs'!$B$7,0)*'Loan Inputs'!$B$14+5*'Loan Inputs'!$B$14,ISNUMBER(G587),G587&gt;0),582,"")</f>
        <v/>
      </c>
      <c r="B588" s="4" t="str">
        <f>IF(A588="","",IF('Loan Inputs'!$B$14=12,DATE(YEAR('Loan Inputs'!$B$8),MONTH('Loan Inputs'!$B$8)+A588,DAY('Loan Inputs'!$B$8)),'Loan Inputs'!$B$8+A588*IF('Loan Inputs'!$B$14=26,14,7)))</f>
        <v/>
      </c>
      <c r="C588" s="2" t="str">
        <f t="shared" si="29"/>
        <v/>
      </c>
      <c r="D588" s="2" t="str">
        <f>IF(A588="","",MIN('Loan Inputs'!$B$17,C588+E588)+H588)</f>
        <v/>
      </c>
      <c r="E588" s="2" t="str">
        <f>IF(A588="","",C588*'Loan Inputs'!$B$15)</f>
        <v/>
      </c>
      <c r="F588" s="2" t="str">
        <f t="shared" si="27"/>
        <v/>
      </c>
      <c r="G588" s="2" t="str">
        <f t="shared" si="28"/>
        <v/>
      </c>
      <c r="H588" s="2" t="str">
        <f>IF(A588="","",MIN('Loan Inputs'!$B$18,MAX(0,C588+E588-'Loan Inputs'!$B$17)))</f>
        <v/>
      </c>
    </row>
    <row r="589" spans="1:8" ht="22" customHeight="1">
      <c r="A589" s="1" t="str">
        <f>IF(AND('Loan Inputs'!$B$12,583&lt;=IF('Loan Inputs'!$B$12,'Loan Inputs'!$B$7,0)*'Loan Inputs'!$B$14+5*'Loan Inputs'!$B$14,ISNUMBER(G588),G588&gt;0),583,"")</f>
        <v/>
      </c>
      <c r="B589" s="4" t="str">
        <f>IF(A589="","",IF('Loan Inputs'!$B$14=12,DATE(YEAR('Loan Inputs'!$B$8),MONTH('Loan Inputs'!$B$8)+A589,DAY('Loan Inputs'!$B$8)),'Loan Inputs'!$B$8+A589*IF('Loan Inputs'!$B$14=26,14,7)))</f>
        <v/>
      </c>
      <c r="C589" s="2" t="str">
        <f t="shared" si="29"/>
        <v/>
      </c>
      <c r="D589" s="2" t="str">
        <f>IF(A589="","",MIN('Loan Inputs'!$B$17,C589+E589)+H589)</f>
        <v/>
      </c>
      <c r="E589" s="2" t="str">
        <f>IF(A589="","",C589*'Loan Inputs'!$B$15)</f>
        <v/>
      </c>
      <c r="F589" s="2" t="str">
        <f t="shared" si="27"/>
        <v/>
      </c>
      <c r="G589" s="2" t="str">
        <f t="shared" si="28"/>
        <v/>
      </c>
      <c r="H589" s="2" t="str">
        <f>IF(A589="","",MIN('Loan Inputs'!$B$18,MAX(0,C589+E589-'Loan Inputs'!$B$17)))</f>
        <v/>
      </c>
    </row>
    <row r="590" spans="1:8" ht="22" customHeight="1">
      <c r="A590" s="1" t="str">
        <f>IF(AND('Loan Inputs'!$B$12,584&lt;=IF('Loan Inputs'!$B$12,'Loan Inputs'!$B$7,0)*'Loan Inputs'!$B$14+5*'Loan Inputs'!$B$14,ISNUMBER(G589),G589&gt;0),584,"")</f>
        <v/>
      </c>
      <c r="B590" s="4" t="str">
        <f>IF(A590="","",IF('Loan Inputs'!$B$14=12,DATE(YEAR('Loan Inputs'!$B$8),MONTH('Loan Inputs'!$B$8)+A590,DAY('Loan Inputs'!$B$8)),'Loan Inputs'!$B$8+A590*IF('Loan Inputs'!$B$14=26,14,7)))</f>
        <v/>
      </c>
      <c r="C590" s="2" t="str">
        <f t="shared" si="29"/>
        <v/>
      </c>
      <c r="D590" s="2" t="str">
        <f>IF(A590="","",MIN('Loan Inputs'!$B$17,C590+E590)+H590)</f>
        <v/>
      </c>
      <c r="E590" s="2" t="str">
        <f>IF(A590="","",C590*'Loan Inputs'!$B$15)</f>
        <v/>
      </c>
      <c r="F590" s="2" t="str">
        <f t="shared" si="27"/>
        <v/>
      </c>
      <c r="G590" s="2" t="str">
        <f t="shared" si="28"/>
        <v/>
      </c>
      <c r="H590" s="2" t="str">
        <f>IF(A590="","",MIN('Loan Inputs'!$B$18,MAX(0,C590+E590-'Loan Inputs'!$B$17)))</f>
        <v/>
      </c>
    </row>
    <row r="591" spans="1:8" ht="22" customHeight="1">
      <c r="A591" s="1" t="str">
        <f>IF(AND('Loan Inputs'!$B$12,585&lt;=IF('Loan Inputs'!$B$12,'Loan Inputs'!$B$7,0)*'Loan Inputs'!$B$14+5*'Loan Inputs'!$B$14,ISNUMBER(G590),G590&gt;0),585,"")</f>
        <v/>
      </c>
      <c r="B591" s="4" t="str">
        <f>IF(A591="","",IF('Loan Inputs'!$B$14=12,DATE(YEAR('Loan Inputs'!$B$8),MONTH('Loan Inputs'!$B$8)+A591,DAY('Loan Inputs'!$B$8)),'Loan Inputs'!$B$8+A591*IF('Loan Inputs'!$B$14=26,14,7)))</f>
        <v/>
      </c>
      <c r="C591" s="2" t="str">
        <f t="shared" si="29"/>
        <v/>
      </c>
      <c r="D591" s="2" t="str">
        <f>IF(A591="","",MIN('Loan Inputs'!$B$17,C591+E591)+H591)</f>
        <v/>
      </c>
      <c r="E591" s="2" t="str">
        <f>IF(A591="","",C591*'Loan Inputs'!$B$15)</f>
        <v/>
      </c>
      <c r="F591" s="2" t="str">
        <f t="shared" si="27"/>
        <v/>
      </c>
      <c r="G591" s="2" t="str">
        <f t="shared" si="28"/>
        <v/>
      </c>
      <c r="H591" s="2" t="str">
        <f>IF(A591="","",MIN('Loan Inputs'!$B$18,MAX(0,C591+E591-'Loan Inputs'!$B$17)))</f>
        <v/>
      </c>
    </row>
    <row r="592" spans="1:8" ht="22" customHeight="1">
      <c r="A592" s="1" t="str">
        <f>IF(AND('Loan Inputs'!$B$12,586&lt;=IF('Loan Inputs'!$B$12,'Loan Inputs'!$B$7,0)*'Loan Inputs'!$B$14+5*'Loan Inputs'!$B$14,ISNUMBER(G591),G591&gt;0),586,"")</f>
        <v/>
      </c>
      <c r="B592" s="4" t="str">
        <f>IF(A592="","",IF('Loan Inputs'!$B$14=12,DATE(YEAR('Loan Inputs'!$B$8),MONTH('Loan Inputs'!$B$8)+A592,DAY('Loan Inputs'!$B$8)),'Loan Inputs'!$B$8+A592*IF('Loan Inputs'!$B$14=26,14,7)))</f>
        <v/>
      </c>
      <c r="C592" s="2" t="str">
        <f t="shared" si="29"/>
        <v/>
      </c>
      <c r="D592" s="2" t="str">
        <f>IF(A592="","",MIN('Loan Inputs'!$B$17,C592+E592)+H592)</f>
        <v/>
      </c>
      <c r="E592" s="2" t="str">
        <f>IF(A592="","",C592*'Loan Inputs'!$B$15)</f>
        <v/>
      </c>
      <c r="F592" s="2" t="str">
        <f t="shared" si="27"/>
        <v/>
      </c>
      <c r="G592" s="2" t="str">
        <f t="shared" si="28"/>
        <v/>
      </c>
      <c r="H592" s="2" t="str">
        <f>IF(A592="","",MIN('Loan Inputs'!$B$18,MAX(0,C592+E592-'Loan Inputs'!$B$17)))</f>
        <v/>
      </c>
    </row>
    <row r="593" spans="1:8" ht="22" customHeight="1">
      <c r="A593" s="1" t="str">
        <f>IF(AND('Loan Inputs'!$B$12,587&lt;=IF('Loan Inputs'!$B$12,'Loan Inputs'!$B$7,0)*'Loan Inputs'!$B$14+5*'Loan Inputs'!$B$14,ISNUMBER(G592),G592&gt;0),587,"")</f>
        <v/>
      </c>
      <c r="B593" s="4" t="str">
        <f>IF(A593="","",IF('Loan Inputs'!$B$14=12,DATE(YEAR('Loan Inputs'!$B$8),MONTH('Loan Inputs'!$B$8)+A593,DAY('Loan Inputs'!$B$8)),'Loan Inputs'!$B$8+A593*IF('Loan Inputs'!$B$14=26,14,7)))</f>
        <v/>
      </c>
      <c r="C593" s="2" t="str">
        <f t="shared" si="29"/>
        <v/>
      </c>
      <c r="D593" s="2" t="str">
        <f>IF(A593="","",MIN('Loan Inputs'!$B$17,C593+E593)+H593)</f>
        <v/>
      </c>
      <c r="E593" s="2" t="str">
        <f>IF(A593="","",C593*'Loan Inputs'!$B$15)</f>
        <v/>
      </c>
      <c r="F593" s="2" t="str">
        <f t="shared" si="27"/>
        <v/>
      </c>
      <c r="G593" s="2" t="str">
        <f t="shared" si="28"/>
        <v/>
      </c>
      <c r="H593" s="2" t="str">
        <f>IF(A593="","",MIN('Loan Inputs'!$B$18,MAX(0,C593+E593-'Loan Inputs'!$B$17)))</f>
        <v/>
      </c>
    </row>
    <row r="594" spans="1:8" ht="22" customHeight="1">
      <c r="A594" s="1" t="str">
        <f>IF(AND('Loan Inputs'!$B$12,588&lt;=IF('Loan Inputs'!$B$12,'Loan Inputs'!$B$7,0)*'Loan Inputs'!$B$14+5*'Loan Inputs'!$B$14,ISNUMBER(G593),G593&gt;0),588,"")</f>
        <v/>
      </c>
      <c r="B594" s="4" t="str">
        <f>IF(A594="","",IF('Loan Inputs'!$B$14=12,DATE(YEAR('Loan Inputs'!$B$8),MONTH('Loan Inputs'!$B$8)+A594,DAY('Loan Inputs'!$B$8)),'Loan Inputs'!$B$8+A594*IF('Loan Inputs'!$B$14=26,14,7)))</f>
        <v/>
      </c>
      <c r="C594" s="2" t="str">
        <f t="shared" si="29"/>
        <v/>
      </c>
      <c r="D594" s="2" t="str">
        <f>IF(A594="","",MIN('Loan Inputs'!$B$17,C594+E594)+H594)</f>
        <v/>
      </c>
      <c r="E594" s="2" t="str">
        <f>IF(A594="","",C594*'Loan Inputs'!$B$15)</f>
        <v/>
      </c>
      <c r="F594" s="2" t="str">
        <f t="shared" si="27"/>
        <v/>
      </c>
      <c r="G594" s="2" t="str">
        <f t="shared" si="28"/>
        <v/>
      </c>
      <c r="H594" s="2" t="str">
        <f>IF(A594="","",MIN('Loan Inputs'!$B$18,MAX(0,C594+E594-'Loan Inputs'!$B$17)))</f>
        <v/>
      </c>
    </row>
    <row r="595" spans="1:8" ht="22" customHeight="1">
      <c r="A595" s="1" t="str">
        <f>IF(AND('Loan Inputs'!$B$12,589&lt;=IF('Loan Inputs'!$B$12,'Loan Inputs'!$B$7,0)*'Loan Inputs'!$B$14+5*'Loan Inputs'!$B$14,ISNUMBER(G594),G594&gt;0),589,"")</f>
        <v/>
      </c>
      <c r="B595" s="4" t="str">
        <f>IF(A595="","",IF('Loan Inputs'!$B$14=12,DATE(YEAR('Loan Inputs'!$B$8),MONTH('Loan Inputs'!$B$8)+A595,DAY('Loan Inputs'!$B$8)),'Loan Inputs'!$B$8+A595*IF('Loan Inputs'!$B$14=26,14,7)))</f>
        <v/>
      </c>
      <c r="C595" s="2" t="str">
        <f t="shared" si="29"/>
        <v/>
      </c>
      <c r="D595" s="2" t="str">
        <f>IF(A595="","",MIN('Loan Inputs'!$B$17,C595+E595)+H595)</f>
        <v/>
      </c>
      <c r="E595" s="2" t="str">
        <f>IF(A595="","",C595*'Loan Inputs'!$B$15)</f>
        <v/>
      </c>
      <c r="F595" s="2" t="str">
        <f t="shared" si="27"/>
        <v/>
      </c>
      <c r="G595" s="2" t="str">
        <f t="shared" si="28"/>
        <v/>
      </c>
      <c r="H595" s="2" t="str">
        <f>IF(A595="","",MIN('Loan Inputs'!$B$18,MAX(0,C595+E595-'Loan Inputs'!$B$17)))</f>
        <v/>
      </c>
    </row>
    <row r="596" spans="1:8" ht="22" customHeight="1">
      <c r="A596" s="1" t="str">
        <f>IF(AND('Loan Inputs'!$B$12,590&lt;=IF('Loan Inputs'!$B$12,'Loan Inputs'!$B$7,0)*'Loan Inputs'!$B$14+5*'Loan Inputs'!$B$14,ISNUMBER(G595),G595&gt;0),590,"")</f>
        <v/>
      </c>
      <c r="B596" s="4" t="str">
        <f>IF(A596="","",IF('Loan Inputs'!$B$14=12,DATE(YEAR('Loan Inputs'!$B$8),MONTH('Loan Inputs'!$B$8)+A596,DAY('Loan Inputs'!$B$8)),'Loan Inputs'!$B$8+A596*IF('Loan Inputs'!$B$14=26,14,7)))</f>
        <v/>
      </c>
      <c r="C596" s="2" t="str">
        <f t="shared" si="29"/>
        <v/>
      </c>
      <c r="D596" s="2" t="str">
        <f>IF(A596="","",MIN('Loan Inputs'!$B$17,C596+E596)+H596)</f>
        <v/>
      </c>
      <c r="E596" s="2" t="str">
        <f>IF(A596="","",C596*'Loan Inputs'!$B$15)</f>
        <v/>
      </c>
      <c r="F596" s="2" t="str">
        <f t="shared" si="27"/>
        <v/>
      </c>
      <c r="G596" s="2" t="str">
        <f t="shared" si="28"/>
        <v/>
      </c>
      <c r="H596" s="2" t="str">
        <f>IF(A596="","",MIN('Loan Inputs'!$B$18,MAX(0,C596+E596-'Loan Inputs'!$B$17)))</f>
        <v/>
      </c>
    </row>
    <row r="597" spans="1:8" ht="22" customHeight="1">
      <c r="A597" s="1" t="str">
        <f>IF(AND('Loan Inputs'!$B$12,591&lt;=IF('Loan Inputs'!$B$12,'Loan Inputs'!$B$7,0)*'Loan Inputs'!$B$14+5*'Loan Inputs'!$B$14,ISNUMBER(G596),G596&gt;0),591,"")</f>
        <v/>
      </c>
      <c r="B597" s="4" t="str">
        <f>IF(A597="","",IF('Loan Inputs'!$B$14=12,DATE(YEAR('Loan Inputs'!$B$8),MONTH('Loan Inputs'!$B$8)+A597,DAY('Loan Inputs'!$B$8)),'Loan Inputs'!$B$8+A597*IF('Loan Inputs'!$B$14=26,14,7)))</f>
        <v/>
      </c>
      <c r="C597" s="2" t="str">
        <f t="shared" si="29"/>
        <v/>
      </c>
      <c r="D597" s="2" t="str">
        <f>IF(A597="","",MIN('Loan Inputs'!$B$17,C597+E597)+H597)</f>
        <v/>
      </c>
      <c r="E597" s="2" t="str">
        <f>IF(A597="","",C597*'Loan Inputs'!$B$15)</f>
        <v/>
      </c>
      <c r="F597" s="2" t="str">
        <f t="shared" si="27"/>
        <v/>
      </c>
      <c r="G597" s="2" t="str">
        <f t="shared" si="28"/>
        <v/>
      </c>
      <c r="H597" s="2" t="str">
        <f>IF(A597="","",MIN('Loan Inputs'!$B$18,MAX(0,C597+E597-'Loan Inputs'!$B$17)))</f>
        <v/>
      </c>
    </row>
    <row r="598" spans="1:8" ht="22" customHeight="1">
      <c r="A598" s="1" t="str">
        <f>IF(AND('Loan Inputs'!$B$12,592&lt;=IF('Loan Inputs'!$B$12,'Loan Inputs'!$B$7,0)*'Loan Inputs'!$B$14+5*'Loan Inputs'!$B$14,ISNUMBER(G597),G597&gt;0),592,"")</f>
        <v/>
      </c>
      <c r="B598" s="4" t="str">
        <f>IF(A598="","",IF('Loan Inputs'!$B$14=12,DATE(YEAR('Loan Inputs'!$B$8),MONTH('Loan Inputs'!$B$8)+A598,DAY('Loan Inputs'!$B$8)),'Loan Inputs'!$B$8+A598*IF('Loan Inputs'!$B$14=26,14,7)))</f>
        <v/>
      </c>
      <c r="C598" s="2" t="str">
        <f t="shared" si="29"/>
        <v/>
      </c>
      <c r="D598" s="2" t="str">
        <f>IF(A598="","",MIN('Loan Inputs'!$B$17,C598+E598)+H598)</f>
        <v/>
      </c>
      <c r="E598" s="2" t="str">
        <f>IF(A598="","",C598*'Loan Inputs'!$B$15)</f>
        <v/>
      </c>
      <c r="F598" s="2" t="str">
        <f t="shared" si="27"/>
        <v/>
      </c>
      <c r="G598" s="2" t="str">
        <f t="shared" si="28"/>
        <v/>
      </c>
      <c r="H598" s="2" t="str">
        <f>IF(A598="","",MIN('Loan Inputs'!$B$18,MAX(0,C598+E598-'Loan Inputs'!$B$17)))</f>
        <v/>
      </c>
    </row>
    <row r="599" spans="1:8" ht="22" customHeight="1">
      <c r="A599" s="1" t="str">
        <f>IF(AND('Loan Inputs'!$B$12,593&lt;=IF('Loan Inputs'!$B$12,'Loan Inputs'!$B$7,0)*'Loan Inputs'!$B$14+5*'Loan Inputs'!$B$14,ISNUMBER(G598),G598&gt;0),593,"")</f>
        <v/>
      </c>
      <c r="B599" s="4" t="str">
        <f>IF(A599="","",IF('Loan Inputs'!$B$14=12,DATE(YEAR('Loan Inputs'!$B$8),MONTH('Loan Inputs'!$B$8)+A599,DAY('Loan Inputs'!$B$8)),'Loan Inputs'!$B$8+A599*IF('Loan Inputs'!$B$14=26,14,7)))</f>
        <v/>
      </c>
      <c r="C599" s="2" t="str">
        <f t="shared" si="29"/>
        <v/>
      </c>
      <c r="D599" s="2" t="str">
        <f>IF(A599="","",MIN('Loan Inputs'!$B$17,C599+E599)+H599)</f>
        <v/>
      </c>
      <c r="E599" s="2" t="str">
        <f>IF(A599="","",C599*'Loan Inputs'!$B$15)</f>
        <v/>
      </c>
      <c r="F599" s="2" t="str">
        <f t="shared" si="27"/>
        <v/>
      </c>
      <c r="G599" s="2" t="str">
        <f t="shared" si="28"/>
        <v/>
      </c>
      <c r="H599" s="2" t="str">
        <f>IF(A599="","",MIN('Loan Inputs'!$B$18,MAX(0,C599+E599-'Loan Inputs'!$B$17)))</f>
        <v/>
      </c>
    </row>
    <row r="600" spans="1:8" ht="22" customHeight="1">
      <c r="A600" s="1" t="str">
        <f>IF(AND('Loan Inputs'!$B$12,594&lt;=IF('Loan Inputs'!$B$12,'Loan Inputs'!$B$7,0)*'Loan Inputs'!$B$14+5*'Loan Inputs'!$B$14,ISNUMBER(G599),G599&gt;0),594,"")</f>
        <v/>
      </c>
      <c r="B600" s="4" t="str">
        <f>IF(A600="","",IF('Loan Inputs'!$B$14=12,DATE(YEAR('Loan Inputs'!$B$8),MONTH('Loan Inputs'!$B$8)+A600,DAY('Loan Inputs'!$B$8)),'Loan Inputs'!$B$8+A600*IF('Loan Inputs'!$B$14=26,14,7)))</f>
        <v/>
      </c>
      <c r="C600" s="2" t="str">
        <f t="shared" si="29"/>
        <v/>
      </c>
      <c r="D600" s="2" t="str">
        <f>IF(A600="","",MIN('Loan Inputs'!$B$17,C600+E600)+H600)</f>
        <v/>
      </c>
      <c r="E600" s="2" t="str">
        <f>IF(A600="","",C600*'Loan Inputs'!$B$15)</f>
        <v/>
      </c>
      <c r="F600" s="2" t="str">
        <f t="shared" si="27"/>
        <v/>
      </c>
      <c r="G600" s="2" t="str">
        <f t="shared" si="28"/>
        <v/>
      </c>
      <c r="H600" s="2" t="str">
        <f>IF(A600="","",MIN('Loan Inputs'!$B$18,MAX(0,C600+E600-'Loan Inputs'!$B$17)))</f>
        <v/>
      </c>
    </row>
    <row r="601" spans="1:8" ht="22" customHeight="1">
      <c r="A601" s="1" t="str">
        <f>IF(AND('Loan Inputs'!$B$12,595&lt;=IF('Loan Inputs'!$B$12,'Loan Inputs'!$B$7,0)*'Loan Inputs'!$B$14+5*'Loan Inputs'!$B$14,ISNUMBER(G600),G600&gt;0),595,"")</f>
        <v/>
      </c>
      <c r="B601" s="4" t="str">
        <f>IF(A601="","",IF('Loan Inputs'!$B$14=12,DATE(YEAR('Loan Inputs'!$B$8),MONTH('Loan Inputs'!$B$8)+A601,DAY('Loan Inputs'!$B$8)),'Loan Inputs'!$B$8+A601*IF('Loan Inputs'!$B$14=26,14,7)))</f>
        <v/>
      </c>
      <c r="C601" s="2" t="str">
        <f t="shared" si="29"/>
        <v/>
      </c>
      <c r="D601" s="2" t="str">
        <f>IF(A601="","",MIN('Loan Inputs'!$B$17,C601+E601)+H601)</f>
        <v/>
      </c>
      <c r="E601" s="2" t="str">
        <f>IF(A601="","",C601*'Loan Inputs'!$B$15)</f>
        <v/>
      </c>
      <c r="F601" s="2" t="str">
        <f t="shared" si="27"/>
        <v/>
      </c>
      <c r="G601" s="2" t="str">
        <f t="shared" si="28"/>
        <v/>
      </c>
      <c r="H601" s="2" t="str">
        <f>IF(A601="","",MIN('Loan Inputs'!$B$18,MAX(0,C601+E601-'Loan Inputs'!$B$17)))</f>
        <v/>
      </c>
    </row>
    <row r="602" spans="1:8" ht="22" customHeight="1">
      <c r="A602" s="1" t="str">
        <f>IF(AND('Loan Inputs'!$B$12,596&lt;=IF('Loan Inputs'!$B$12,'Loan Inputs'!$B$7,0)*'Loan Inputs'!$B$14+5*'Loan Inputs'!$B$14,ISNUMBER(G601),G601&gt;0),596,"")</f>
        <v/>
      </c>
      <c r="B602" s="4" t="str">
        <f>IF(A602="","",IF('Loan Inputs'!$B$14=12,DATE(YEAR('Loan Inputs'!$B$8),MONTH('Loan Inputs'!$B$8)+A602,DAY('Loan Inputs'!$B$8)),'Loan Inputs'!$B$8+A602*IF('Loan Inputs'!$B$14=26,14,7)))</f>
        <v/>
      </c>
      <c r="C602" s="2" t="str">
        <f t="shared" si="29"/>
        <v/>
      </c>
      <c r="D602" s="2" t="str">
        <f>IF(A602="","",MIN('Loan Inputs'!$B$17,C602+E602)+H602)</f>
        <v/>
      </c>
      <c r="E602" s="2" t="str">
        <f>IF(A602="","",C602*'Loan Inputs'!$B$15)</f>
        <v/>
      </c>
      <c r="F602" s="2" t="str">
        <f t="shared" si="27"/>
        <v/>
      </c>
      <c r="G602" s="2" t="str">
        <f t="shared" si="28"/>
        <v/>
      </c>
      <c r="H602" s="2" t="str">
        <f>IF(A602="","",MIN('Loan Inputs'!$B$18,MAX(0,C602+E602-'Loan Inputs'!$B$17)))</f>
        <v/>
      </c>
    </row>
    <row r="603" spans="1:8" ht="22" customHeight="1">
      <c r="A603" s="1" t="str">
        <f>IF(AND('Loan Inputs'!$B$12,597&lt;=IF('Loan Inputs'!$B$12,'Loan Inputs'!$B$7,0)*'Loan Inputs'!$B$14+5*'Loan Inputs'!$B$14,ISNUMBER(G602),G602&gt;0),597,"")</f>
        <v/>
      </c>
      <c r="B603" s="4" t="str">
        <f>IF(A603="","",IF('Loan Inputs'!$B$14=12,DATE(YEAR('Loan Inputs'!$B$8),MONTH('Loan Inputs'!$B$8)+A603,DAY('Loan Inputs'!$B$8)),'Loan Inputs'!$B$8+A603*IF('Loan Inputs'!$B$14=26,14,7)))</f>
        <v/>
      </c>
      <c r="C603" s="2" t="str">
        <f t="shared" si="29"/>
        <v/>
      </c>
      <c r="D603" s="2" t="str">
        <f>IF(A603="","",MIN('Loan Inputs'!$B$17,C603+E603)+H603)</f>
        <v/>
      </c>
      <c r="E603" s="2" t="str">
        <f>IF(A603="","",C603*'Loan Inputs'!$B$15)</f>
        <v/>
      </c>
      <c r="F603" s="2" t="str">
        <f t="shared" si="27"/>
        <v/>
      </c>
      <c r="G603" s="2" t="str">
        <f t="shared" si="28"/>
        <v/>
      </c>
      <c r="H603" s="2" t="str">
        <f>IF(A603="","",MIN('Loan Inputs'!$B$18,MAX(0,C603+E603-'Loan Inputs'!$B$17)))</f>
        <v/>
      </c>
    </row>
    <row r="604" spans="1:8" ht="22" customHeight="1">
      <c r="A604" s="1" t="str">
        <f>IF(AND('Loan Inputs'!$B$12,598&lt;=IF('Loan Inputs'!$B$12,'Loan Inputs'!$B$7,0)*'Loan Inputs'!$B$14+5*'Loan Inputs'!$B$14,ISNUMBER(G603),G603&gt;0),598,"")</f>
        <v/>
      </c>
      <c r="B604" s="4" t="str">
        <f>IF(A604="","",IF('Loan Inputs'!$B$14=12,DATE(YEAR('Loan Inputs'!$B$8),MONTH('Loan Inputs'!$B$8)+A604,DAY('Loan Inputs'!$B$8)),'Loan Inputs'!$B$8+A604*IF('Loan Inputs'!$B$14=26,14,7)))</f>
        <v/>
      </c>
      <c r="C604" s="2" t="str">
        <f t="shared" si="29"/>
        <v/>
      </c>
      <c r="D604" s="2" t="str">
        <f>IF(A604="","",MIN('Loan Inputs'!$B$17,C604+E604)+H604)</f>
        <v/>
      </c>
      <c r="E604" s="2" t="str">
        <f>IF(A604="","",C604*'Loan Inputs'!$B$15)</f>
        <v/>
      </c>
      <c r="F604" s="2" t="str">
        <f t="shared" si="27"/>
        <v/>
      </c>
      <c r="G604" s="2" t="str">
        <f t="shared" si="28"/>
        <v/>
      </c>
      <c r="H604" s="2" t="str">
        <f>IF(A604="","",MIN('Loan Inputs'!$B$18,MAX(0,C604+E604-'Loan Inputs'!$B$17)))</f>
        <v/>
      </c>
    </row>
    <row r="605" spans="1:8" ht="22" customHeight="1">
      <c r="A605" s="1" t="str">
        <f>IF(AND('Loan Inputs'!$B$12,599&lt;=IF('Loan Inputs'!$B$12,'Loan Inputs'!$B$7,0)*'Loan Inputs'!$B$14+5*'Loan Inputs'!$B$14,ISNUMBER(G604),G604&gt;0),599,"")</f>
        <v/>
      </c>
      <c r="B605" s="4" t="str">
        <f>IF(A605="","",IF('Loan Inputs'!$B$14=12,DATE(YEAR('Loan Inputs'!$B$8),MONTH('Loan Inputs'!$B$8)+A605,DAY('Loan Inputs'!$B$8)),'Loan Inputs'!$B$8+A605*IF('Loan Inputs'!$B$14=26,14,7)))</f>
        <v/>
      </c>
      <c r="C605" s="2" t="str">
        <f t="shared" si="29"/>
        <v/>
      </c>
      <c r="D605" s="2" t="str">
        <f>IF(A605="","",MIN('Loan Inputs'!$B$17,C605+E605)+H605)</f>
        <v/>
      </c>
      <c r="E605" s="2" t="str">
        <f>IF(A605="","",C605*'Loan Inputs'!$B$15)</f>
        <v/>
      </c>
      <c r="F605" s="2" t="str">
        <f t="shared" si="27"/>
        <v/>
      </c>
      <c r="G605" s="2" t="str">
        <f t="shared" si="28"/>
        <v/>
      </c>
      <c r="H605" s="2" t="str">
        <f>IF(A605="","",MIN('Loan Inputs'!$B$18,MAX(0,C605+E605-'Loan Inputs'!$B$17)))</f>
        <v/>
      </c>
    </row>
    <row r="606" spans="1:8" ht="22" customHeight="1">
      <c r="A606" s="1" t="str">
        <f>IF(AND('Loan Inputs'!$B$12,600&lt;=IF('Loan Inputs'!$B$12,'Loan Inputs'!$B$7,0)*'Loan Inputs'!$B$14+5*'Loan Inputs'!$B$14,ISNUMBER(G605),G605&gt;0),600,"")</f>
        <v/>
      </c>
      <c r="B606" s="4" t="str">
        <f>IF(A606="","",IF('Loan Inputs'!$B$14=12,DATE(YEAR('Loan Inputs'!$B$8),MONTH('Loan Inputs'!$B$8)+A606,DAY('Loan Inputs'!$B$8)),'Loan Inputs'!$B$8+A606*IF('Loan Inputs'!$B$14=26,14,7)))</f>
        <v/>
      </c>
      <c r="C606" s="2" t="str">
        <f t="shared" si="29"/>
        <v/>
      </c>
      <c r="D606" s="2" t="str">
        <f>IF(A606="","",MIN('Loan Inputs'!$B$17,C606+E606)+H606)</f>
        <v/>
      </c>
      <c r="E606" s="2" t="str">
        <f>IF(A606="","",C606*'Loan Inputs'!$B$15)</f>
        <v/>
      </c>
      <c r="F606" s="2" t="str">
        <f t="shared" si="27"/>
        <v/>
      </c>
      <c r="G606" s="2" t="str">
        <f t="shared" si="28"/>
        <v/>
      </c>
      <c r="H606" s="2" t="str">
        <f>IF(A606="","",MIN('Loan Inputs'!$B$18,MAX(0,C606+E606-'Loan Inputs'!$B$17)))</f>
        <v/>
      </c>
    </row>
    <row r="607" spans="1:8" ht="22" customHeight="1">
      <c r="A607" s="1" t="str">
        <f>IF(AND('Loan Inputs'!$B$12,601&lt;=IF('Loan Inputs'!$B$12,'Loan Inputs'!$B$7,0)*'Loan Inputs'!$B$14+5*'Loan Inputs'!$B$14,ISNUMBER(G606),G606&gt;0),601,"")</f>
        <v/>
      </c>
      <c r="B607" s="4" t="str">
        <f>IF(A607="","",IF('Loan Inputs'!$B$14=12,DATE(YEAR('Loan Inputs'!$B$8),MONTH('Loan Inputs'!$B$8)+A607,DAY('Loan Inputs'!$B$8)),'Loan Inputs'!$B$8+A607*IF('Loan Inputs'!$B$14=26,14,7)))</f>
        <v/>
      </c>
      <c r="C607" s="2" t="str">
        <f t="shared" si="29"/>
        <v/>
      </c>
      <c r="D607" s="2" t="str">
        <f>IF(A607="","",MIN('Loan Inputs'!$B$17,C607+E607)+H607)</f>
        <v/>
      </c>
      <c r="E607" s="2" t="str">
        <f>IF(A607="","",C607*'Loan Inputs'!$B$15)</f>
        <v/>
      </c>
      <c r="F607" s="2" t="str">
        <f t="shared" si="27"/>
        <v/>
      </c>
      <c r="G607" s="2" t="str">
        <f t="shared" si="28"/>
        <v/>
      </c>
      <c r="H607" s="2" t="str">
        <f>IF(A607="","",MIN('Loan Inputs'!$B$18,MAX(0,C607+E607-'Loan Inputs'!$B$17)))</f>
        <v/>
      </c>
    </row>
    <row r="608" spans="1:8" ht="22" customHeight="1">
      <c r="A608" s="1" t="str">
        <f>IF(AND('Loan Inputs'!$B$12,602&lt;=IF('Loan Inputs'!$B$12,'Loan Inputs'!$B$7,0)*'Loan Inputs'!$B$14+5*'Loan Inputs'!$B$14,ISNUMBER(G607),G607&gt;0),602,"")</f>
        <v/>
      </c>
      <c r="B608" s="4" t="str">
        <f>IF(A608="","",IF('Loan Inputs'!$B$14=12,DATE(YEAR('Loan Inputs'!$B$8),MONTH('Loan Inputs'!$B$8)+A608,DAY('Loan Inputs'!$B$8)),'Loan Inputs'!$B$8+A608*IF('Loan Inputs'!$B$14=26,14,7)))</f>
        <v/>
      </c>
      <c r="C608" s="2" t="str">
        <f t="shared" si="29"/>
        <v/>
      </c>
      <c r="D608" s="2" t="str">
        <f>IF(A608="","",MIN('Loan Inputs'!$B$17,C608+E608)+H608)</f>
        <v/>
      </c>
      <c r="E608" s="2" t="str">
        <f>IF(A608="","",C608*'Loan Inputs'!$B$15)</f>
        <v/>
      </c>
      <c r="F608" s="2" t="str">
        <f t="shared" si="27"/>
        <v/>
      </c>
      <c r="G608" s="2" t="str">
        <f t="shared" si="28"/>
        <v/>
      </c>
      <c r="H608" s="2" t="str">
        <f>IF(A608="","",MIN('Loan Inputs'!$B$18,MAX(0,C608+E608-'Loan Inputs'!$B$17)))</f>
        <v/>
      </c>
    </row>
    <row r="609" spans="1:8" ht="22" customHeight="1">
      <c r="A609" s="1" t="str">
        <f>IF(AND('Loan Inputs'!$B$12,603&lt;=IF('Loan Inputs'!$B$12,'Loan Inputs'!$B$7,0)*'Loan Inputs'!$B$14+5*'Loan Inputs'!$B$14,ISNUMBER(G608),G608&gt;0),603,"")</f>
        <v/>
      </c>
      <c r="B609" s="4" t="str">
        <f>IF(A609="","",IF('Loan Inputs'!$B$14=12,DATE(YEAR('Loan Inputs'!$B$8),MONTH('Loan Inputs'!$B$8)+A609,DAY('Loan Inputs'!$B$8)),'Loan Inputs'!$B$8+A609*IF('Loan Inputs'!$B$14=26,14,7)))</f>
        <v/>
      </c>
      <c r="C609" s="2" t="str">
        <f t="shared" si="29"/>
        <v/>
      </c>
      <c r="D609" s="2" t="str">
        <f>IF(A609="","",MIN('Loan Inputs'!$B$17,C609+E609)+H609)</f>
        <v/>
      </c>
      <c r="E609" s="2" t="str">
        <f>IF(A609="","",C609*'Loan Inputs'!$B$15)</f>
        <v/>
      </c>
      <c r="F609" s="2" t="str">
        <f t="shared" si="27"/>
        <v/>
      </c>
      <c r="G609" s="2" t="str">
        <f t="shared" si="28"/>
        <v/>
      </c>
      <c r="H609" s="2" t="str">
        <f>IF(A609="","",MIN('Loan Inputs'!$B$18,MAX(0,C609+E609-'Loan Inputs'!$B$17)))</f>
        <v/>
      </c>
    </row>
    <row r="610" spans="1:8" ht="22" customHeight="1">
      <c r="A610" s="1" t="str">
        <f>IF(AND('Loan Inputs'!$B$12,604&lt;=IF('Loan Inputs'!$B$12,'Loan Inputs'!$B$7,0)*'Loan Inputs'!$B$14+5*'Loan Inputs'!$B$14,ISNUMBER(G609),G609&gt;0),604,"")</f>
        <v/>
      </c>
      <c r="B610" s="4" t="str">
        <f>IF(A610="","",IF('Loan Inputs'!$B$14=12,DATE(YEAR('Loan Inputs'!$B$8),MONTH('Loan Inputs'!$B$8)+A610,DAY('Loan Inputs'!$B$8)),'Loan Inputs'!$B$8+A610*IF('Loan Inputs'!$B$14=26,14,7)))</f>
        <v/>
      </c>
      <c r="C610" s="2" t="str">
        <f t="shared" si="29"/>
        <v/>
      </c>
      <c r="D610" s="2" t="str">
        <f>IF(A610="","",MIN('Loan Inputs'!$B$17,C610+E610)+H610)</f>
        <v/>
      </c>
      <c r="E610" s="2" t="str">
        <f>IF(A610="","",C610*'Loan Inputs'!$B$15)</f>
        <v/>
      </c>
      <c r="F610" s="2" t="str">
        <f t="shared" si="27"/>
        <v/>
      </c>
      <c r="G610" s="2" t="str">
        <f t="shared" si="28"/>
        <v/>
      </c>
      <c r="H610" s="2" t="str">
        <f>IF(A610="","",MIN('Loan Inputs'!$B$18,MAX(0,C610+E610-'Loan Inputs'!$B$17)))</f>
        <v/>
      </c>
    </row>
    <row r="611" spans="1:8" ht="22" customHeight="1">
      <c r="A611" s="1" t="str">
        <f>IF(AND('Loan Inputs'!$B$12,605&lt;=IF('Loan Inputs'!$B$12,'Loan Inputs'!$B$7,0)*'Loan Inputs'!$B$14+5*'Loan Inputs'!$B$14,ISNUMBER(G610),G610&gt;0),605,"")</f>
        <v/>
      </c>
      <c r="B611" s="4" t="str">
        <f>IF(A611="","",IF('Loan Inputs'!$B$14=12,DATE(YEAR('Loan Inputs'!$B$8),MONTH('Loan Inputs'!$B$8)+A611,DAY('Loan Inputs'!$B$8)),'Loan Inputs'!$B$8+A611*IF('Loan Inputs'!$B$14=26,14,7)))</f>
        <v/>
      </c>
      <c r="C611" s="2" t="str">
        <f t="shared" si="29"/>
        <v/>
      </c>
      <c r="D611" s="2" t="str">
        <f>IF(A611="","",MIN('Loan Inputs'!$B$17,C611+E611)+H611)</f>
        <v/>
      </c>
      <c r="E611" s="2" t="str">
        <f>IF(A611="","",C611*'Loan Inputs'!$B$15)</f>
        <v/>
      </c>
      <c r="F611" s="2" t="str">
        <f t="shared" si="27"/>
        <v/>
      </c>
      <c r="G611" s="2" t="str">
        <f t="shared" si="28"/>
        <v/>
      </c>
      <c r="H611" s="2" t="str">
        <f>IF(A611="","",MIN('Loan Inputs'!$B$18,MAX(0,C611+E611-'Loan Inputs'!$B$17)))</f>
        <v/>
      </c>
    </row>
    <row r="612" spans="1:8" ht="22" customHeight="1">
      <c r="A612" s="1" t="str">
        <f>IF(AND('Loan Inputs'!$B$12,606&lt;=IF('Loan Inputs'!$B$12,'Loan Inputs'!$B$7,0)*'Loan Inputs'!$B$14+5*'Loan Inputs'!$B$14,ISNUMBER(G611),G611&gt;0),606,"")</f>
        <v/>
      </c>
      <c r="B612" s="4" t="str">
        <f>IF(A612="","",IF('Loan Inputs'!$B$14=12,DATE(YEAR('Loan Inputs'!$B$8),MONTH('Loan Inputs'!$B$8)+A612,DAY('Loan Inputs'!$B$8)),'Loan Inputs'!$B$8+A612*IF('Loan Inputs'!$B$14=26,14,7)))</f>
        <v/>
      </c>
      <c r="C612" s="2" t="str">
        <f t="shared" si="29"/>
        <v/>
      </c>
      <c r="D612" s="2" t="str">
        <f>IF(A612="","",MIN('Loan Inputs'!$B$17,C612+E612)+H612)</f>
        <v/>
      </c>
      <c r="E612" s="2" t="str">
        <f>IF(A612="","",C612*'Loan Inputs'!$B$15)</f>
        <v/>
      </c>
      <c r="F612" s="2" t="str">
        <f t="shared" si="27"/>
        <v/>
      </c>
      <c r="G612" s="2" t="str">
        <f t="shared" si="28"/>
        <v/>
      </c>
      <c r="H612" s="2" t="str">
        <f>IF(A612="","",MIN('Loan Inputs'!$B$18,MAX(0,C612+E612-'Loan Inputs'!$B$17)))</f>
        <v/>
      </c>
    </row>
    <row r="613" spans="1:8" ht="22" customHeight="1">
      <c r="A613" s="1" t="str">
        <f>IF(AND('Loan Inputs'!$B$12,607&lt;=IF('Loan Inputs'!$B$12,'Loan Inputs'!$B$7,0)*'Loan Inputs'!$B$14+5*'Loan Inputs'!$B$14,ISNUMBER(G612),G612&gt;0),607,"")</f>
        <v/>
      </c>
      <c r="B613" s="4" t="str">
        <f>IF(A613="","",IF('Loan Inputs'!$B$14=12,DATE(YEAR('Loan Inputs'!$B$8),MONTH('Loan Inputs'!$B$8)+A613,DAY('Loan Inputs'!$B$8)),'Loan Inputs'!$B$8+A613*IF('Loan Inputs'!$B$14=26,14,7)))</f>
        <v/>
      </c>
      <c r="C613" s="2" t="str">
        <f t="shared" si="29"/>
        <v/>
      </c>
      <c r="D613" s="2" t="str">
        <f>IF(A613="","",MIN('Loan Inputs'!$B$17,C613+E613)+H613)</f>
        <v/>
      </c>
      <c r="E613" s="2" t="str">
        <f>IF(A613="","",C613*'Loan Inputs'!$B$15)</f>
        <v/>
      </c>
      <c r="F613" s="2" t="str">
        <f t="shared" si="27"/>
        <v/>
      </c>
      <c r="G613" s="2" t="str">
        <f t="shared" si="28"/>
        <v/>
      </c>
      <c r="H613" s="2" t="str">
        <f>IF(A613="","",MIN('Loan Inputs'!$B$18,MAX(0,C613+E613-'Loan Inputs'!$B$17)))</f>
        <v/>
      </c>
    </row>
    <row r="614" spans="1:8" ht="22" customHeight="1">
      <c r="A614" s="1" t="str">
        <f>IF(AND('Loan Inputs'!$B$12,608&lt;=IF('Loan Inputs'!$B$12,'Loan Inputs'!$B$7,0)*'Loan Inputs'!$B$14+5*'Loan Inputs'!$B$14,ISNUMBER(G613),G613&gt;0),608,"")</f>
        <v/>
      </c>
      <c r="B614" s="4" t="str">
        <f>IF(A614="","",IF('Loan Inputs'!$B$14=12,DATE(YEAR('Loan Inputs'!$B$8),MONTH('Loan Inputs'!$B$8)+A614,DAY('Loan Inputs'!$B$8)),'Loan Inputs'!$B$8+A614*IF('Loan Inputs'!$B$14=26,14,7)))</f>
        <v/>
      </c>
      <c r="C614" s="2" t="str">
        <f t="shared" si="29"/>
        <v/>
      </c>
      <c r="D614" s="2" t="str">
        <f>IF(A614="","",MIN('Loan Inputs'!$B$17,C614+E614)+H614)</f>
        <v/>
      </c>
      <c r="E614" s="2" t="str">
        <f>IF(A614="","",C614*'Loan Inputs'!$B$15)</f>
        <v/>
      </c>
      <c r="F614" s="2" t="str">
        <f t="shared" si="27"/>
        <v/>
      </c>
      <c r="G614" s="2" t="str">
        <f t="shared" si="28"/>
        <v/>
      </c>
      <c r="H614" s="2" t="str">
        <f>IF(A614="","",MIN('Loan Inputs'!$B$18,MAX(0,C614+E614-'Loan Inputs'!$B$17)))</f>
        <v/>
      </c>
    </row>
    <row r="615" spans="1:8" ht="22" customHeight="1">
      <c r="A615" s="1" t="str">
        <f>IF(AND('Loan Inputs'!$B$12,609&lt;=IF('Loan Inputs'!$B$12,'Loan Inputs'!$B$7,0)*'Loan Inputs'!$B$14+5*'Loan Inputs'!$B$14,ISNUMBER(G614),G614&gt;0),609,"")</f>
        <v/>
      </c>
      <c r="B615" s="4" t="str">
        <f>IF(A615="","",IF('Loan Inputs'!$B$14=12,DATE(YEAR('Loan Inputs'!$B$8),MONTH('Loan Inputs'!$B$8)+A615,DAY('Loan Inputs'!$B$8)),'Loan Inputs'!$B$8+A615*IF('Loan Inputs'!$B$14=26,14,7)))</f>
        <v/>
      </c>
      <c r="C615" s="2" t="str">
        <f t="shared" si="29"/>
        <v/>
      </c>
      <c r="D615" s="2" t="str">
        <f>IF(A615="","",MIN('Loan Inputs'!$B$17,C615+E615)+H615)</f>
        <v/>
      </c>
      <c r="E615" s="2" t="str">
        <f>IF(A615="","",C615*'Loan Inputs'!$B$15)</f>
        <v/>
      </c>
      <c r="F615" s="2" t="str">
        <f t="shared" si="27"/>
        <v/>
      </c>
      <c r="G615" s="2" t="str">
        <f t="shared" si="28"/>
        <v/>
      </c>
      <c r="H615" s="2" t="str">
        <f>IF(A615="","",MIN('Loan Inputs'!$B$18,MAX(0,C615+E615-'Loan Inputs'!$B$17)))</f>
        <v/>
      </c>
    </row>
    <row r="616" spans="1:8" ht="22" customHeight="1">
      <c r="A616" s="1" t="str">
        <f>IF(AND('Loan Inputs'!$B$12,610&lt;=IF('Loan Inputs'!$B$12,'Loan Inputs'!$B$7,0)*'Loan Inputs'!$B$14+5*'Loan Inputs'!$B$14,ISNUMBER(G615),G615&gt;0),610,"")</f>
        <v/>
      </c>
      <c r="B616" s="4" t="str">
        <f>IF(A616="","",IF('Loan Inputs'!$B$14=12,DATE(YEAR('Loan Inputs'!$B$8),MONTH('Loan Inputs'!$B$8)+A616,DAY('Loan Inputs'!$B$8)),'Loan Inputs'!$B$8+A616*IF('Loan Inputs'!$B$14=26,14,7)))</f>
        <v/>
      </c>
      <c r="C616" s="2" t="str">
        <f t="shared" si="29"/>
        <v/>
      </c>
      <c r="D616" s="2" t="str">
        <f>IF(A616="","",MIN('Loan Inputs'!$B$17,C616+E616)+H616)</f>
        <v/>
      </c>
      <c r="E616" s="2" t="str">
        <f>IF(A616="","",C616*'Loan Inputs'!$B$15)</f>
        <v/>
      </c>
      <c r="F616" s="2" t="str">
        <f t="shared" si="27"/>
        <v/>
      </c>
      <c r="G616" s="2" t="str">
        <f t="shared" si="28"/>
        <v/>
      </c>
      <c r="H616" s="2" t="str">
        <f>IF(A616="","",MIN('Loan Inputs'!$B$18,MAX(0,C616+E616-'Loan Inputs'!$B$17)))</f>
        <v/>
      </c>
    </row>
    <row r="617" spans="1:8" ht="22" customHeight="1">
      <c r="A617" s="1" t="str">
        <f>IF(AND('Loan Inputs'!$B$12,611&lt;=IF('Loan Inputs'!$B$12,'Loan Inputs'!$B$7,0)*'Loan Inputs'!$B$14+5*'Loan Inputs'!$B$14,ISNUMBER(G616),G616&gt;0),611,"")</f>
        <v/>
      </c>
      <c r="B617" s="4" t="str">
        <f>IF(A617="","",IF('Loan Inputs'!$B$14=12,DATE(YEAR('Loan Inputs'!$B$8),MONTH('Loan Inputs'!$B$8)+A617,DAY('Loan Inputs'!$B$8)),'Loan Inputs'!$B$8+A617*IF('Loan Inputs'!$B$14=26,14,7)))</f>
        <v/>
      </c>
      <c r="C617" s="2" t="str">
        <f t="shared" si="29"/>
        <v/>
      </c>
      <c r="D617" s="2" t="str">
        <f>IF(A617="","",MIN('Loan Inputs'!$B$17,C617+E617)+H617)</f>
        <v/>
      </c>
      <c r="E617" s="2" t="str">
        <f>IF(A617="","",C617*'Loan Inputs'!$B$15)</f>
        <v/>
      </c>
      <c r="F617" s="2" t="str">
        <f t="shared" si="27"/>
        <v/>
      </c>
      <c r="G617" s="2" t="str">
        <f t="shared" si="28"/>
        <v/>
      </c>
      <c r="H617" s="2" t="str">
        <f>IF(A617="","",MIN('Loan Inputs'!$B$18,MAX(0,C617+E617-'Loan Inputs'!$B$17)))</f>
        <v/>
      </c>
    </row>
    <row r="618" spans="1:8" ht="22" customHeight="1">
      <c r="A618" s="1" t="str">
        <f>IF(AND('Loan Inputs'!$B$12,612&lt;=IF('Loan Inputs'!$B$12,'Loan Inputs'!$B$7,0)*'Loan Inputs'!$B$14+5*'Loan Inputs'!$B$14,ISNUMBER(G617),G617&gt;0),612,"")</f>
        <v/>
      </c>
      <c r="B618" s="4" t="str">
        <f>IF(A618="","",IF('Loan Inputs'!$B$14=12,DATE(YEAR('Loan Inputs'!$B$8),MONTH('Loan Inputs'!$B$8)+A618,DAY('Loan Inputs'!$B$8)),'Loan Inputs'!$B$8+A618*IF('Loan Inputs'!$B$14=26,14,7)))</f>
        <v/>
      </c>
      <c r="C618" s="2" t="str">
        <f t="shared" si="29"/>
        <v/>
      </c>
      <c r="D618" s="2" t="str">
        <f>IF(A618="","",MIN('Loan Inputs'!$B$17,C618+E618)+H618)</f>
        <v/>
      </c>
      <c r="E618" s="2" t="str">
        <f>IF(A618="","",C618*'Loan Inputs'!$B$15)</f>
        <v/>
      </c>
      <c r="F618" s="2" t="str">
        <f t="shared" si="27"/>
        <v/>
      </c>
      <c r="G618" s="2" t="str">
        <f t="shared" si="28"/>
        <v/>
      </c>
      <c r="H618" s="2" t="str">
        <f>IF(A618="","",MIN('Loan Inputs'!$B$18,MAX(0,C618+E618-'Loan Inputs'!$B$17)))</f>
        <v/>
      </c>
    </row>
    <row r="619" spans="1:8" ht="22" customHeight="1">
      <c r="A619" s="1" t="str">
        <f>IF(AND('Loan Inputs'!$B$12,613&lt;=IF('Loan Inputs'!$B$12,'Loan Inputs'!$B$7,0)*'Loan Inputs'!$B$14+5*'Loan Inputs'!$B$14,ISNUMBER(G618),G618&gt;0),613,"")</f>
        <v/>
      </c>
      <c r="B619" s="4" t="str">
        <f>IF(A619="","",IF('Loan Inputs'!$B$14=12,DATE(YEAR('Loan Inputs'!$B$8),MONTH('Loan Inputs'!$B$8)+A619,DAY('Loan Inputs'!$B$8)),'Loan Inputs'!$B$8+A619*IF('Loan Inputs'!$B$14=26,14,7)))</f>
        <v/>
      </c>
      <c r="C619" s="2" t="str">
        <f t="shared" si="29"/>
        <v/>
      </c>
      <c r="D619" s="2" t="str">
        <f>IF(A619="","",MIN('Loan Inputs'!$B$17,C619+E619)+H619)</f>
        <v/>
      </c>
      <c r="E619" s="2" t="str">
        <f>IF(A619="","",C619*'Loan Inputs'!$B$15)</f>
        <v/>
      </c>
      <c r="F619" s="2" t="str">
        <f t="shared" si="27"/>
        <v/>
      </c>
      <c r="G619" s="2" t="str">
        <f t="shared" si="28"/>
        <v/>
      </c>
      <c r="H619" s="2" t="str">
        <f>IF(A619="","",MIN('Loan Inputs'!$B$18,MAX(0,C619+E619-'Loan Inputs'!$B$17)))</f>
        <v/>
      </c>
    </row>
    <row r="620" spans="1:8" ht="22" customHeight="1">
      <c r="A620" s="1" t="str">
        <f>IF(AND('Loan Inputs'!$B$12,614&lt;=IF('Loan Inputs'!$B$12,'Loan Inputs'!$B$7,0)*'Loan Inputs'!$B$14+5*'Loan Inputs'!$B$14,ISNUMBER(G619),G619&gt;0),614,"")</f>
        <v/>
      </c>
      <c r="B620" s="4" t="str">
        <f>IF(A620="","",IF('Loan Inputs'!$B$14=12,DATE(YEAR('Loan Inputs'!$B$8),MONTH('Loan Inputs'!$B$8)+A620,DAY('Loan Inputs'!$B$8)),'Loan Inputs'!$B$8+A620*IF('Loan Inputs'!$B$14=26,14,7)))</f>
        <v/>
      </c>
      <c r="C620" s="2" t="str">
        <f t="shared" si="29"/>
        <v/>
      </c>
      <c r="D620" s="2" t="str">
        <f>IF(A620="","",MIN('Loan Inputs'!$B$17,C620+E620)+H620)</f>
        <v/>
      </c>
      <c r="E620" s="2" t="str">
        <f>IF(A620="","",C620*'Loan Inputs'!$B$15)</f>
        <v/>
      </c>
      <c r="F620" s="2" t="str">
        <f t="shared" si="27"/>
        <v/>
      </c>
      <c r="G620" s="2" t="str">
        <f t="shared" si="28"/>
        <v/>
      </c>
      <c r="H620" s="2" t="str">
        <f>IF(A620="","",MIN('Loan Inputs'!$B$18,MAX(0,C620+E620-'Loan Inputs'!$B$17)))</f>
        <v/>
      </c>
    </row>
    <row r="621" spans="1:8" ht="22" customHeight="1">
      <c r="A621" s="1" t="str">
        <f>IF(AND('Loan Inputs'!$B$12,615&lt;=IF('Loan Inputs'!$B$12,'Loan Inputs'!$B$7,0)*'Loan Inputs'!$B$14+5*'Loan Inputs'!$B$14,ISNUMBER(G620),G620&gt;0),615,"")</f>
        <v/>
      </c>
      <c r="B621" s="4" t="str">
        <f>IF(A621="","",IF('Loan Inputs'!$B$14=12,DATE(YEAR('Loan Inputs'!$B$8),MONTH('Loan Inputs'!$B$8)+A621,DAY('Loan Inputs'!$B$8)),'Loan Inputs'!$B$8+A621*IF('Loan Inputs'!$B$14=26,14,7)))</f>
        <v/>
      </c>
      <c r="C621" s="2" t="str">
        <f t="shared" si="29"/>
        <v/>
      </c>
      <c r="D621" s="2" t="str">
        <f>IF(A621="","",MIN('Loan Inputs'!$B$17,C621+E621)+H621)</f>
        <v/>
      </c>
      <c r="E621" s="2" t="str">
        <f>IF(A621="","",C621*'Loan Inputs'!$B$15)</f>
        <v/>
      </c>
      <c r="F621" s="2" t="str">
        <f t="shared" si="27"/>
        <v/>
      </c>
      <c r="G621" s="2" t="str">
        <f t="shared" si="28"/>
        <v/>
      </c>
      <c r="H621" s="2" t="str">
        <f>IF(A621="","",MIN('Loan Inputs'!$B$18,MAX(0,C621+E621-'Loan Inputs'!$B$17)))</f>
        <v/>
      </c>
    </row>
    <row r="622" spans="1:8" ht="22" customHeight="1">
      <c r="A622" s="1" t="str">
        <f>IF(AND('Loan Inputs'!$B$12,616&lt;=IF('Loan Inputs'!$B$12,'Loan Inputs'!$B$7,0)*'Loan Inputs'!$B$14+5*'Loan Inputs'!$B$14,ISNUMBER(G621),G621&gt;0),616,"")</f>
        <v/>
      </c>
      <c r="B622" s="4" t="str">
        <f>IF(A622="","",IF('Loan Inputs'!$B$14=12,DATE(YEAR('Loan Inputs'!$B$8),MONTH('Loan Inputs'!$B$8)+A622,DAY('Loan Inputs'!$B$8)),'Loan Inputs'!$B$8+A622*IF('Loan Inputs'!$B$14=26,14,7)))</f>
        <v/>
      </c>
      <c r="C622" s="2" t="str">
        <f t="shared" si="29"/>
        <v/>
      </c>
      <c r="D622" s="2" t="str">
        <f>IF(A622="","",MIN('Loan Inputs'!$B$17,C622+E622)+H622)</f>
        <v/>
      </c>
      <c r="E622" s="2" t="str">
        <f>IF(A622="","",C622*'Loan Inputs'!$B$15)</f>
        <v/>
      </c>
      <c r="F622" s="2" t="str">
        <f t="shared" si="27"/>
        <v/>
      </c>
      <c r="G622" s="2" t="str">
        <f t="shared" si="28"/>
        <v/>
      </c>
      <c r="H622" s="2" t="str">
        <f>IF(A622="","",MIN('Loan Inputs'!$B$18,MAX(0,C622+E622-'Loan Inputs'!$B$17)))</f>
        <v/>
      </c>
    </row>
    <row r="623" spans="1:8" ht="22" customHeight="1">
      <c r="A623" s="1" t="str">
        <f>IF(AND('Loan Inputs'!$B$12,617&lt;=IF('Loan Inputs'!$B$12,'Loan Inputs'!$B$7,0)*'Loan Inputs'!$B$14+5*'Loan Inputs'!$B$14,ISNUMBER(G622),G622&gt;0),617,"")</f>
        <v/>
      </c>
      <c r="B623" s="4" t="str">
        <f>IF(A623="","",IF('Loan Inputs'!$B$14=12,DATE(YEAR('Loan Inputs'!$B$8),MONTH('Loan Inputs'!$B$8)+A623,DAY('Loan Inputs'!$B$8)),'Loan Inputs'!$B$8+A623*IF('Loan Inputs'!$B$14=26,14,7)))</f>
        <v/>
      </c>
      <c r="C623" s="2" t="str">
        <f t="shared" si="29"/>
        <v/>
      </c>
      <c r="D623" s="2" t="str">
        <f>IF(A623="","",MIN('Loan Inputs'!$B$17,C623+E623)+H623)</f>
        <v/>
      </c>
      <c r="E623" s="2" t="str">
        <f>IF(A623="","",C623*'Loan Inputs'!$B$15)</f>
        <v/>
      </c>
      <c r="F623" s="2" t="str">
        <f t="shared" si="27"/>
        <v/>
      </c>
      <c r="G623" s="2" t="str">
        <f t="shared" si="28"/>
        <v/>
      </c>
      <c r="H623" s="2" t="str">
        <f>IF(A623="","",MIN('Loan Inputs'!$B$18,MAX(0,C623+E623-'Loan Inputs'!$B$17)))</f>
        <v/>
      </c>
    </row>
    <row r="624" spans="1:8" ht="22" customHeight="1">
      <c r="A624" s="1" t="str">
        <f>IF(AND('Loan Inputs'!$B$12,618&lt;=IF('Loan Inputs'!$B$12,'Loan Inputs'!$B$7,0)*'Loan Inputs'!$B$14+5*'Loan Inputs'!$B$14,ISNUMBER(G623),G623&gt;0),618,"")</f>
        <v/>
      </c>
      <c r="B624" s="4" t="str">
        <f>IF(A624="","",IF('Loan Inputs'!$B$14=12,DATE(YEAR('Loan Inputs'!$B$8),MONTH('Loan Inputs'!$B$8)+A624,DAY('Loan Inputs'!$B$8)),'Loan Inputs'!$B$8+A624*IF('Loan Inputs'!$B$14=26,14,7)))</f>
        <v/>
      </c>
      <c r="C624" s="2" t="str">
        <f t="shared" si="29"/>
        <v/>
      </c>
      <c r="D624" s="2" t="str">
        <f>IF(A624="","",MIN('Loan Inputs'!$B$17,C624+E624)+H624)</f>
        <v/>
      </c>
      <c r="E624" s="2" t="str">
        <f>IF(A624="","",C624*'Loan Inputs'!$B$15)</f>
        <v/>
      </c>
      <c r="F624" s="2" t="str">
        <f t="shared" si="27"/>
        <v/>
      </c>
      <c r="G624" s="2" t="str">
        <f t="shared" si="28"/>
        <v/>
      </c>
      <c r="H624" s="2" t="str">
        <f>IF(A624="","",MIN('Loan Inputs'!$B$18,MAX(0,C624+E624-'Loan Inputs'!$B$17)))</f>
        <v/>
      </c>
    </row>
    <row r="625" spans="1:8" ht="22" customHeight="1">
      <c r="A625" s="1" t="str">
        <f>IF(AND('Loan Inputs'!$B$12,619&lt;=IF('Loan Inputs'!$B$12,'Loan Inputs'!$B$7,0)*'Loan Inputs'!$B$14+5*'Loan Inputs'!$B$14,ISNUMBER(G624),G624&gt;0),619,"")</f>
        <v/>
      </c>
      <c r="B625" s="4" t="str">
        <f>IF(A625="","",IF('Loan Inputs'!$B$14=12,DATE(YEAR('Loan Inputs'!$B$8),MONTH('Loan Inputs'!$B$8)+A625,DAY('Loan Inputs'!$B$8)),'Loan Inputs'!$B$8+A625*IF('Loan Inputs'!$B$14=26,14,7)))</f>
        <v/>
      </c>
      <c r="C625" s="2" t="str">
        <f t="shared" si="29"/>
        <v/>
      </c>
      <c r="D625" s="2" t="str">
        <f>IF(A625="","",MIN('Loan Inputs'!$B$17,C625+E625)+H625)</f>
        <v/>
      </c>
      <c r="E625" s="2" t="str">
        <f>IF(A625="","",C625*'Loan Inputs'!$B$15)</f>
        <v/>
      </c>
      <c r="F625" s="2" t="str">
        <f t="shared" si="27"/>
        <v/>
      </c>
      <c r="G625" s="2" t="str">
        <f t="shared" si="28"/>
        <v/>
      </c>
      <c r="H625" s="2" t="str">
        <f>IF(A625="","",MIN('Loan Inputs'!$B$18,MAX(0,C625+E625-'Loan Inputs'!$B$17)))</f>
        <v/>
      </c>
    </row>
    <row r="626" spans="1:8" ht="22" customHeight="1">
      <c r="A626" s="1" t="str">
        <f>IF(AND('Loan Inputs'!$B$12,620&lt;=IF('Loan Inputs'!$B$12,'Loan Inputs'!$B$7,0)*'Loan Inputs'!$B$14+5*'Loan Inputs'!$B$14,ISNUMBER(G625),G625&gt;0),620,"")</f>
        <v/>
      </c>
      <c r="B626" s="4" t="str">
        <f>IF(A626="","",IF('Loan Inputs'!$B$14=12,DATE(YEAR('Loan Inputs'!$B$8),MONTH('Loan Inputs'!$B$8)+A626,DAY('Loan Inputs'!$B$8)),'Loan Inputs'!$B$8+A626*IF('Loan Inputs'!$B$14=26,14,7)))</f>
        <v/>
      </c>
      <c r="C626" s="2" t="str">
        <f t="shared" si="29"/>
        <v/>
      </c>
      <c r="D626" s="2" t="str">
        <f>IF(A626="","",MIN('Loan Inputs'!$B$17,C626+E626)+H626)</f>
        <v/>
      </c>
      <c r="E626" s="2" t="str">
        <f>IF(A626="","",C626*'Loan Inputs'!$B$15)</f>
        <v/>
      </c>
      <c r="F626" s="2" t="str">
        <f t="shared" si="27"/>
        <v/>
      </c>
      <c r="G626" s="2" t="str">
        <f t="shared" si="28"/>
        <v/>
      </c>
      <c r="H626" s="2" t="str">
        <f>IF(A626="","",MIN('Loan Inputs'!$B$18,MAX(0,C626+E626-'Loan Inputs'!$B$17)))</f>
        <v/>
      </c>
    </row>
    <row r="627" spans="1:8" ht="22" customHeight="1">
      <c r="A627" s="1" t="str">
        <f>IF(AND('Loan Inputs'!$B$12,621&lt;=IF('Loan Inputs'!$B$12,'Loan Inputs'!$B$7,0)*'Loan Inputs'!$B$14+5*'Loan Inputs'!$B$14,ISNUMBER(G626),G626&gt;0),621,"")</f>
        <v/>
      </c>
      <c r="B627" s="4" t="str">
        <f>IF(A627="","",IF('Loan Inputs'!$B$14=12,DATE(YEAR('Loan Inputs'!$B$8),MONTH('Loan Inputs'!$B$8)+A627,DAY('Loan Inputs'!$B$8)),'Loan Inputs'!$B$8+A627*IF('Loan Inputs'!$B$14=26,14,7)))</f>
        <v/>
      </c>
      <c r="C627" s="2" t="str">
        <f t="shared" si="29"/>
        <v/>
      </c>
      <c r="D627" s="2" t="str">
        <f>IF(A627="","",MIN('Loan Inputs'!$B$17,C627+E627)+H627)</f>
        <v/>
      </c>
      <c r="E627" s="2" t="str">
        <f>IF(A627="","",C627*'Loan Inputs'!$B$15)</f>
        <v/>
      </c>
      <c r="F627" s="2" t="str">
        <f t="shared" si="27"/>
        <v/>
      </c>
      <c r="G627" s="2" t="str">
        <f t="shared" si="28"/>
        <v/>
      </c>
      <c r="H627" s="2" t="str">
        <f>IF(A627="","",MIN('Loan Inputs'!$B$18,MAX(0,C627+E627-'Loan Inputs'!$B$17)))</f>
        <v/>
      </c>
    </row>
    <row r="628" spans="1:8" ht="22" customHeight="1">
      <c r="A628" s="1" t="str">
        <f>IF(AND('Loan Inputs'!$B$12,622&lt;=IF('Loan Inputs'!$B$12,'Loan Inputs'!$B$7,0)*'Loan Inputs'!$B$14+5*'Loan Inputs'!$B$14,ISNUMBER(G627),G627&gt;0),622,"")</f>
        <v/>
      </c>
      <c r="B628" s="4" t="str">
        <f>IF(A628="","",IF('Loan Inputs'!$B$14=12,DATE(YEAR('Loan Inputs'!$B$8),MONTH('Loan Inputs'!$B$8)+A628,DAY('Loan Inputs'!$B$8)),'Loan Inputs'!$B$8+A628*IF('Loan Inputs'!$B$14=26,14,7)))</f>
        <v/>
      </c>
      <c r="C628" s="2" t="str">
        <f t="shared" si="29"/>
        <v/>
      </c>
      <c r="D628" s="2" t="str">
        <f>IF(A628="","",MIN('Loan Inputs'!$B$17,C628+E628)+H628)</f>
        <v/>
      </c>
      <c r="E628" s="2" t="str">
        <f>IF(A628="","",C628*'Loan Inputs'!$B$15)</f>
        <v/>
      </c>
      <c r="F628" s="2" t="str">
        <f t="shared" si="27"/>
        <v/>
      </c>
      <c r="G628" s="2" t="str">
        <f t="shared" si="28"/>
        <v/>
      </c>
      <c r="H628" s="2" t="str">
        <f>IF(A628="","",MIN('Loan Inputs'!$B$18,MAX(0,C628+E628-'Loan Inputs'!$B$17)))</f>
        <v/>
      </c>
    </row>
    <row r="629" spans="1:8" ht="22" customHeight="1">
      <c r="A629" s="1" t="str">
        <f>IF(AND('Loan Inputs'!$B$12,623&lt;=IF('Loan Inputs'!$B$12,'Loan Inputs'!$B$7,0)*'Loan Inputs'!$B$14+5*'Loan Inputs'!$B$14,ISNUMBER(G628),G628&gt;0),623,"")</f>
        <v/>
      </c>
      <c r="B629" s="4" t="str">
        <f>IF(A629="","",IF('Loan Inputs'!$B$14=12,DATE(YEAR('Loan Inputs'!$B$8),MONTH('Loan Inputs'!$B$8)+A629,DAY('Loan Inputs'!$B$8)),'Loan Inputs'!$B$8+A629*IF('Loan Inputs'!$B$14=26,14,7)))</f>
        <v/>
      </c>
      <c r="C629" s="2" t="str">
        <f t="shared" si="29"/>
        <v/>
      </c>
      <c r="D629" s="2" t="str">
        <f>IF(A629="","",MIN('Loan Inputs'!$B$17,C629+E629)+H629)</f>
        <v/>
      </c>
      <c r="E629" s="2" t="str">
        <f>IF(A629="","",C629*'Loan Inputs'!$B$15)</f>
        <v/>
      </c>
      <c r="F629" s="2" t="str">
        <f t="shared" si="27"/>
        <v/>
      </c>
      <c r="G629" s="2" t="str">
        <f t="shared" si="28"/>
        <v/>
      </c>
      <c r="H629" s="2" t="str">
        <f>IF(A629="","",MIN('Loan Inputs'!$B$18,MAX(0,C629+E629-'Loan Inputs'!$B$17)))</f>
        <v/>
      </c>
    </row>
    <row r="630" spans="1:8" ht="22" customHeight="1">
      <c r="A630" s="1" t="str">
        <f>IF(AND('Loan Inputs'!$B$12,624&lt;=IF('Loan Inputs'!$B$12,'Loan Inputs'!$B$7,0)*'Loan Inputs'!$B$14+5*'Loan Inputs'!$B$14,ISNUMBER(G629),G629&gt;0),624,"")</f>
        <v/>
      </c>
      <c r="B630" s="4" t="str">
        <f>IF(A630="","",IF('Loan Inputs'!$B$14=12,DATE(YEAR('Loan Inputs'!$B$8),MONTH('Loan Inputs'!$B$8)+A630,DAY('Loan Inputs'!$B$8)),'Loan Inputs'!$B$8+A630*IF('Loan Inputs'!$B$14=26,14,7)))</f>
        <v/>
      </c>
      <c r="C630" s="2" t="str">
        <f t="shared" si="29"/>
        <v/>
      </c>
      <c r="D630" s="2" t="str">
        <f>IF(A630="","",MIN('Loan Inputs'!$B$17,C630+E630)+H630)</f>
        <v/>
      </c>
      <c r="E630" s="2" t="str">
        <f>IF(A630="","",C630*'Loan Inputs'!$B$15)</f>
        <v/>
      </c>
      <c r="F630" s="2" t="str">
        <f t="shared" si="27"/>
        <v/>
      </c>
      <c r="G630" s="2" t="str">
        <f t="shared" si="28"/>
        <v/>
      </c>
      <c r="H630" s="2" t="str">
        <f>IF(A630="","",MIN('Loan Inputs'!$B$18,MAX(0,C630+E630-'Loan Inputs'!$B$17)))</f>
        <v/>
      </c>
    </row>
    <row r="631" spans="1:8" ht="22" customHeight="1">
      <c r="A631" s="1" t="str">
        <f>IF(AND('Loan Inputs'!$B$12,625&lt;=IF('Loan Inputs'!$B$12,'Loan Inputs'!$B$7,0)*'Loan Inputs'!$B$14+5*'Loan Inputs'!$B$14,ISNUMBER(G630),G630&gt;0),625,"")</f>
        <v/>
      </c>
      <c r="B631" s="4" t="str">
        <f>IF(A631="","",IF('Loan Inputs'!$B$14=12,DATE(YEAR('Loan Inputs'!$B$8),MONTH('Loan Inputs'!$B$8)+A631,DAY('Loan Inputs'!$B$8)),'Loan Inputs'!$B$8+A631*IF('Loan Inputs'!$B$14=26,14,7)))</f>
        <v/>
      </c>
      <c r="C631" s="2" t="str">
        <f t="shared" si="29"/>
        <v/>
      </c>
      <c r="D631" s="2" t="str">
        <f>IF(A631="","",MIN('Loan Inputs'!$B$17,C631+E631)+H631)</f>
        <v/>
      </c>
      <c r="E631" s="2" t="str">
        <f>IF(A631="","",C631*'Loan Inputs'!$B$15)</f>
        <v/>
      </c>
      <c r="F631" s="2" t="str">
        <f t="shared" si="27"/>
        <v/>
      </c>
      <c r="G631" s="2" t="str">
        <f t="shared" si="28"/>
        <v/>
      </c>
      <c r="H631" s="2" t="str">
        <f>IF(A631="","",MIN('Loan Inputs'!$B$18,MAX(0,C631+E631-'Loan Inputs'!$B$17)))</f>
        <v/>
      </c>
    </row>
    <row r="632" spans="1:8" ht="22" customHeight="1">
      <c r="A632" s="1" t="str">
        <f>IF(AND('Loan Inputs'!$B$12,626&lt;=IF('Loan Inputs'!$B$12,'Loan Inputs'!$B$7,0)*'Loan Inputs'!$B$14+5*'Loan Inputs'!$B$14,ISNUMBER(G631),G631&gt;0),626,"")</f>
        <v/>
      </c>
      <c r="B632" s="4" t="str">
        <f>IF(A632="","",IF('Loan Inputs'!$B$14=12,DATE(YEAR('Loan Inputs'!$B$8),MONTH('Loan Inputs'!$B$8)+A632,DAY('Loan Inputs'!$B$8)),'Loan Inputs'!$B$8+A632*IF('Loan Inputs'!$B$14=26,14,7)))</f>
        <v/>
      </c>
      <c r="C632" s="2" t="str">
        <f t="shared" si="29"/>
        <v/>
      </c>
      <c r="D632" s="2" t="str">
        <f>IF(A632="","",MIN('Loan Inputs'!$B$17,C632+E632)+H632)</f>
        <v/>
      </c>
      <c r="E632" s="2" t="str">
        <f>IF(A632="","",C632*'Loan Inputs'!$B$15)</f>
        <v/>
      </c>
      <c r="F632" s="2" t="str">
        <f t="shared" si="27"/>
        <v/>
      </c>
      <c r="G632" s="2" t="str">
        <f t="shared" si="28"/>
        <v/>
      </c>
      <c r="H632" s="2" t="str">
        <f>IF(A632="","",MIN('Loan Inputs'!$B$18,MAX(0,C632+E632-'Loan Inputs'!$B$17)))</f>
        <v/>
      </c>
    </row>
    <row r="633" spans="1:8" ht="22" customHeight="1">
      <c r="A633" s="1" t="str">
        <f>IF(AND('Loan Inputs'!$B$12,627&lt;=IF('Loan Inputs'!$B$12,'Loan Inputs'!$B$7,0)*'Loan Inputs'!$B$14+5*'Loan Inputs'!$B$14,ISNUMBER(G632),G632&gt;0),627,"")</f>
        <v/>
      </c>
      <c r="B633" s="4" t="str">
        <f>IF(A633="","",IF('Loan Inputs'!$B$14=12,DATE(YEAR('Loan Inputs'!$B$8),MONTH('Loan Inputs'!$B$8)+A633,DAY('Loan Inputs'!$B$8)),'Loan Inputs'!$B$8+A633*IF('Loan Inputs'!$B$14=26,14,7)))</f>
        <v/>
      </c>
      <c r="C633" s="2" t="str">
        <f t="shared" si="29"/>
        <v/>
      </c>
      <c r="D633" s="2" t="str">
        <f>IF(A633="","",MIN('Loan Inputs'!$B$17,C633+E633)+H633)</f>
        <v/>
      </c>
      <c r="E633" s="2" t="str">
        <f>IF(A633="","",C633*'Loan Inputs'!$B$15)</f>
        <v/>
      </c>
      <c r="F633" s="2" t="str">
        <f t="shared" si="27"/>
        <v/>
      </c>
      <c r="G633" s="2" t="str">
        <f t="shared" si="28"/>
        <v/>
      </c>
      <c r="H633" s="2" t="str">
        <f>IF(A633="","",MIN('Loan Inputs'!$B$18,MAX(0,C633+E633-'Loan Inputs'!$B$17)))</f>
        <v/>
      </c>
    </row>
    <row r="634" spans="1:8" ht="22" customHeight="1">
      <c r="A634" s="1" t="str">
        <f>IF(AND('Loan Inputs'!$B$12,628&lt;=IF('Loan Inputs'!$B$12,'Loan Inputs'!$B$7,0)*'Loan Inputs'!$B$14+5*'Loan Inputs'!$B$14,ISNUMBER(G633),G633&gt;0),628,"")</f>
        <v/>
      </c>
      <c r="B634" s="4" t="str">
        <f>IF(A634="","",IF('Loan Inputs'!$B$14=12,DATE(YEAR('Loan Inputs'!$B$8),MONTH('Loan Inputs'!$B$8)+A634,DAY('Loan Inputs'!$B$8)),'Loan Inputs'!$B$8+A634*IF('Loan Inputs'!$B$14=26,14,7)))</f>
        <v/>
      </c>
      <c r="C634" s="2" t="str">
        <f t="shared" si="29"/>
        <v/>
      </c>
      <c r="D634" s="2" t="str">
        <f>IF(A634="","",MIN('Loan Inputs'!$B$17,C634+E634)+H634)</f>
        <v/>
      </c>
      <c r="E634" s="2" t="str">
        <f>IF(A634="","",C634*'Loan Inputs'!$B$15)</f>
        <v/>
      </c>
      <c r="F634" s="2" t="str">
        <f t="shared" si="27"/>
        <v/>
      </c>
      <c r="G634" s="2" t="str">
        <f t="shared" si="28"/>
        <v/>
      </c>
      <c r="H634" s="2" t="str">
        <f>IF(A634="","",MIN('Loan Inputs'!$B$18,MAX(0,C634+E634-'Loan Inputs'!$B$17)))</f>
        <v/>
      </c>
    </row>
    <row r="635" spans="1:8" ht="22" customHeight="1">
      <c r="A635" s="1" t="str">
        <f>IF(AND('Loan Inputs'!$B$12,629&lt;=IF('Loan Inputs'!$B$12,'Loan Inputs'!$B$7,0)*'Loan Inputs'!$B$14+5*'Loan Inputs'!$B$14,ISNUMBER(G634),G634&gt;0),629,"")</f>
        <v/>
      </c>
      <c r="B635" s="4" t="str">
        <f>IF(A635="","",IF('Loan Inputs'!$B$14=12,DATE(YEAR('Loan Inputs'!$B$8),MONTH('Loan Inputs'!$B$8)+A635,DAY('Loan Inputs'!$B$8)),'Loan Inputs'!$B$8+A635*IF('Loan Inputs'!$B$14=26,14,7)))</f>
        <v/>
      </c>
      <c r="C635" s="2" t="str">
        <f t="shared" si="29"/>
        <v/>
      </c>
      <c r="D635" s="2" t="str">
        <f>IF(A635="","",MIN('Loan Inputs'!$B$17,C635+E635)+H635)</f>
        <v/>
      </c>
      <c r="E635" s="2" t="str">
        <f>IF(A635="","",C635*'Loan Inputs'!$B$15)</f>
        <v/>
      </c>
      <c r="F635" s="2" t="str">
        <f t="shared" si="27"/>
        <v/>
      </c>
      <c r="G635" s="2" t="str">
        <f t="shared" si="28"/>
        <v/>
      </c>
      <c r="H635" s="2" t="str">
        <f>IF(A635="","",MIN('Loan Inputs'!$B$18,MAX(0,C635+E635-'Loan Inputs'!$B$17)))</f>
        <v/>
      </c>
    </row>
    <row r="636" spans="1:8" ht="22" customHeight="1">
      <c r="A636" s="1" t="str">
        <f>IF(AND('Loan Inputs'!$B$12,630&lt;=IF('Loan Inputs'!$B$12,'Loan Inputs'!$B$7,0)*'Loan Inputs'!$B$14+5*'Loan Inputs'!$B$14,ISNUMBER(G635),G635&gt;0),630,"")</f>
        <v/>
      </c>
      <c r="B636" s="4" t="str">
        <f>IF(A636="","",IF('Loan Inputs'!$B$14=12,DATE(YEAR('Loan Inputs'!$B$8),MONTH('Loan Inputs'!$B$8)+A636,DAY('Loan Inputs'!$B$8)),'Loan Inputs'!$B$8+A636*IF('Loan Inputs'!$B$14=26,14,7)))</f>
        <v/>
      </c>
      <c r="C636" s="2" t="str">
        <f t="shared" si="29"/>
        <v/>
      </c>
      <c r="D636" s="2" t="str">
        <f>IF(A636="","",MIN('Loan Inputs'!$B$17,C636+E636)+H636)</f>
        <v/>
      </c>
      <c r="E636" s="2" t="str">
        <f>IF(A636="","",C636*'Loan Inputs'!$B$15)</f>
        <v/>
      </c>
      <c r="F636" s="2" t="str">
        <f t="shared" si="27"/>
        <v/>
      </c>
      <c r="G636" s="2" t="str">
        <f t="shared" si="28"/>
        <v/>
      </c>
      <c r="H636" s="2" t="str">
        <f>IF(A636="","",MIN('Loan Inputs'!$B$18,MAX(0,C636+E636-'Loan Inputs'!$B$17)))</f>
        <v/>
      </c>
    </row>
    <row r="637" spans="1:8" ht="22" customHeight="1">
      <c r="A637" s="1" t="str">
        <f>IF(AND('Loan Inputs'!$B$12,631&lt;=IF('Loan Inputs'!$B$12,'Loan Inputs'!$B$7,0)*'Loan Inputs'!$B$14+5*'Loan Inputs'!$B$14,ISNUMBER(G636),G636&gt;0),631,"")</f>
        <v/>
      </c>
      <c r="B637" s="4" t="str">
        <f>IF(A637="","",IF('Loan Inputs'!$B$14=12,DATE(YEAR('Loan Inputs'!$B$8),MONTH('Loan Inputs'!$B$8)+A637,DAY('Loan Inputs'!$B$8)),'Loan Inputs'!$B$8+A637*IF('Loan Inputs'!$B$14=26,14,7)))</f>
        <v/>
      </c>
      <c r="C637" s="2" t="str">
        <f t="shared" si="29"/>
        <v/>
      </c>
      <c r="D637" s="2" t="str">
        <f>IF(A637="","",MIN('Loan Inputs'!$B$17,C637+E637)+H637)</f>
        <v/>
      </c>
      <c r="E637" s="2" t="str">
        <f>IF(A637="","",C637*'Loan Inputs'!$B$15)</f>
        <v/>
      </c>
      <c r="F637" s="2" t="str">
        <f t="shared" si="27"/>
        <v/>
      </c>
      <c r="G637" s="2" t="str">
        <f t="shared" si="28"/>
        <v/>
      </c>
      <c r="H637" s="2" t="str">
        <f>IF(A637="","",MIN('Loan Inputs'!$B$18,MAX(0,C637+E637-'Loan Inputs'!$B$17)))</f>
        <v/>
      </c>
    </row>
    <row r="638" spans="1:8" ht="22" customHeight="1">
      <c r="A638" s="1" t="str">
        <f>IF(AND('Loan Inputs'!$B$12,632&lt;=IF('Loan Inputs'!$B$12,'Loan Inputs'!$B$7,0)*'Loan Inputs'!$B$14+5*'Loan Inputs'!$B$14,ISNUMBER(G637),G637&gt;0),632,"")</f>
        <v/>
      </c>
      <c r="B638" s="4" t="str">
        <f>IF(A638="","",IF('Loan Inputs'!$B$14=12,DATE(YEAR('Loan Inputs'!$B$8),MONTH('Loan Inputs'!$B$8)+A638,DAY('Loan Inputs'!$B$8)),'Loan Inputs'!$B$8+A638*IF('Loan Inputs'!$B$14=26,14,7)))</f>
        <v/>
      </c>
      <c r="C638" s="2" t="str">
        <f t="shared" si="29"/>
        <v/>
      </c>
      <c r="D638" s="2" t="str">
        <f>IF(A638="","",MIN('Loan Inputs'!$B$17,C638+E638)+H638)</f>
        <v/>
      </c>
      <c r="E638" s="2" t="str">
        <f>IF(A638="","",C638*'Loan Inputs'!$B$15)</f>
        <v/>
      </c>
      <c r="F638" s="2" t="str">
        <f t="shared" si="27"/>
        <v/>
      </c>
      <c r="G638" s="2" t="str">
        <f t="shared" si="28"/>
        <v/>
      </c>
      <c r="H638" s="2" t="str">
        <f>IF(A638="","",MIN('Loan Inputs'!$B$18,MAX(0,C638+E638-'Loan Inputs'!$B$17)))</f>
        <v/>
      </c>
    </row>
    <row r="639" spans="1:8" ht="22" customHeight="1">
      <c r="A639" s="1" t="str">
        <f>IF(AND('Loan Inputs'!$B$12,633&lt;=IF('Loan Inputs'!$B$12,'Loan Inputs'!$B$7,0)*'Loan Inputs'!$B$14+5*'Loan Inputs'!$B$14,ISNUMBER(G638),G638&gt;0),633,"")</f>
        <v/>
      </c>
      <c r="B639" s="4" t="str">
        <f>IF(A639="","",IF('Loan Inputs'!$B$14=12,DATE(YEAR('Loan Inputs'!$B$8),MONTH('Loan Inputs'!$B$8)+A639,DAY('Loan Inputs'!$B$8)),'Loan Inputs'!$B$8+A639*IF('Loan Inputs'!$B$14=26,14,7)))</f>
        <v/>
      </c>
      <c r="C639" s="2" t="str">
        <f t="shared" si="29"/>
        <v/>
      </c>
      <c r="D639" s="2" t="str">
        <f>IF(A639="","",MIN('Loan Inputs'!$B$17,C639+E639)+H639)</f>
        <v/>
      </c>
      <c r="E639" s="2" t="str">
        <f>IF(A639="","",C639*'Loan Inputs'!$B$15)</f>
        <v/>
      </c>
      <c r="F639" s="2" t="str">
        <f t="shared" si="27"/>
        <v/>
      </c>
      <c r="G639" s="2" t="str">
        <f t="shared" si="28"/>
        <v/>
      </c>
      <c r="H639" s="2" t="str">
        <f>IF(A639="","",MIN('Loan Inputs'!$B$18,MAX(0,C639+E639-'Loan Inputs'!$B$17)))</f>
        <v/>
      </c>
    </row>
    <row r="640" spans="1:8" ht="22" customHeight="1">
      <c r="A640" s="1" t="str">
        <f>IF(AND('Loan Inputs'!$B$12,634&lt;=IF('Loan Inputs'!$B$12,'Loan Inputs'!$B$7,0)*'Loan Inputs'!$B$14+5*'Loan Inputs'!$B$14,ISNUMBER(G639),G639&gt;0),634,"")</f>
        <v/>
      </c>
      <c r="B640" s="4" t="str">
        <f>IF(A640="","",IF('Loan Inputs'!$B$14=12,DATE(YEAR('Loan Inputs'!$B$8),MONTH('Loan Inputs'!$B$8)+A640,DAY('Loan Inputs'!$B$8)),'Loan Inputs'!$B$8+A640*IF('Loan Inputs'!$B$14=26,14,7)))</f>
        <v/>
      </c>
      <c r="C640" s="2" t="str">
        <f t="shared" si="29"/>
        <v/>
      </c>
      <c r="D640" s="2" t="str">
        <f>IF(A640="","",MIN('Loan Inputs'!$B$17,C640+E640)+H640)</f>
        <v/>
      </c>
      <c r="E640" s="2" t="str">
        <f>IF(A640="","",C640*'Loan Inputs'!$B$15)</f>
        <v/>
      </c>
      <c r="F640" s="2" t="str">
        <f t="shared" si="27"/>
        <v/>
      </c>
      <c r="G640" s="2" t="str">
        <f t="shared" si="28"/>
        <v/>
      </c>
      <c r="H640" s="2" t="str">
        <f>IF(A640="","",MIN('Loan Inputs'!$B$18,MAX(0,C640+E640-'Loan Inputs'!$B$17)))</f>
        <v/>
      </c>
    </row>
    <row r="641" spans="1:8" ht="22" customHeight="1">
      <c r="A641" s="1" t="str">
        <f>IF(AND('Loan Inputs'!$B$12,635&lt;=IF('Loan Inputs'!$B$12,'Loan Inputs'!$B$7,0)*'Loan Inputs'!$B$14+5*'Loan Inputs'!$B$14,ISNUMBER(G640),G640&gt;0),635,"")</f>
        <v/>
      </c>
      <c r="B641" s="4" t="str">
        <f>IF(A641="","",IF('Loan Inputs'!$B$14=12,DATE(YEAR('Loan Inputs'!$B$8),MONTH('Loan Inputs'!$B$8)+A641,DAY('Loan Inputs'!$B$8)),'Loan Inputs'!$B$8+A641*IF('Loan Inputs'!$B$14=26,14,7)))</f>
        <v/>
      </c>
      <c r="C641" s="2" t="str">
        <f t="shared" si="29"/>
        <v/>
      </c>
      <c r="D641" s="2" t="str">
        <f>IF(A641="","",MIN('Loan Inputs'!$B$17,C641+E641)+H641)</f>
        <v/>
      </c>
      <c r="E641" s="2" t="str">
        <f>IF(A641="","",C641*'Loan Inputs'!$B$15)</f>
        <v/>
      </c>
      <c r="F641" s="2" t="str">
        <f t="shared" si="27"/>
        <v/>
      </c>
      <c r="G641" s="2" t="str">
        <f t="shared" si="28"/>
        <v/>
      </c>
      <c r="H641" s="2" t="str">
        <f>IF(A641="","",MIN('Loan Inputs'!$B$18,MAX(0,C641+E641-'Loan Inputs'!$B$17)))</f>
        <v/>
      </c>
    </row>
    <row r="642" spans="1:8" ht="22" customHeight="1">
      <c r="A642" s="1" t="str">
        <f>IF(AND('Loan Inputs'!$B$12,636&lt;=IF('Loan Inputs'!$B$12,'Loan Inputs'!$B$7,0)*'Loan Inputs'!$B$14+5*'Loan Inputs'!$B$14,ISNUMBER(G641),G641&gt;0),636,"")</f>
        <v/>
      </c>
      <c r="B642" s="4" t="str">
        <f>IF(A642="","",IF('Loan Inputs'!$B$14=12,DATE(YEAR('Loan Inputs'!$B$8),MONTH('Loan Inputs'!$B$8)+A642,DAY('Loan Inputs'!$B$8)),'Loan Inputs'!$B$8+A642*IF('Loan Inputs'!$B$14=26,14,7)))</f>
        <v/>
      </c>
      <c r="C642" s="2" t="str">
        <f t="shared" si="29"/>
        <v/>
      </c>
      <c r="D642" s="2" t="str">
        <f>IF(A642="","",MIN('Loan Inputs'!$B$17,C642+E642)+H642)</f>
        <v/>
      </c>
      <c r="E642" s="2" t="str">
        <f>IF(A642="","",C642*'Loan Inputs'!$B$15)</f>
        <v/>
      </c>
      <c r="F642" s="2" t="str">
        <f t="shared" si="27"/>
        <v/>
      </c>
      <c r="G642" s="2" t="str">
        <f t="shared" si="28"/>
        <v/>
      </c>
      <c r="H642" s="2" t="str">
        <f>IF(A642="","",MIN('Loan Inputs'!$B$18,MAX(0,C642+E642-'Loan Inputs'!$B$17)))</f>
        <v/>
      </c>
    </row>
    <row r="643" spans="1:8" ht="22" customHeight="1">
      <c r="A643" s="1" t="str">
        <f>IF(AND('Loan Inputs'!$B$12,637&lt;=IF('Loan Inputs'!$B$12,'Loan Inputs'!$B$7,0)*'Loan Inputs'!$B$14+5*'Loan Inputs'!$B$14,ISNUMBER(G642),G642&gt;0),637,"")</f>
        <v/>
      </c>
      <c r="B643" s="4" t="str">
        <f>IF(A643="","",IF('Loan Inputs'!$B$14=12,DATE(YEAR('Loan Inputs'!$B$8),MONTH('Loan Inputs'!$B$8)+A643,DAY('Loan Inputs'!$B$8)),'Loan Inputs'!$B$8+A643*IF('Loan Inputs'!$B$14=26,14,7)))</f>
        <v/>
      </c>
      <c r="C643" s="2" t="str">
        <f t="shared" si="29"/>
        <v/>
      </c>
      <c r="D643" s="2" t="str">
        <f>IF(A643="","",MIN('Loan Inputs'!$B$17,C643+E643)+H643)</f>
        <v/>
      </c>
      <c r="E643" s="2" t="str">
        <f>IF(A643="","",C643*'Loan Inputs'!$B$15)</f>
        <v/>
      </c>
      <c r="F643" s="2" t="str">
        <f t="shared" si="27"/>
        <v/>
      </c>
      <c r="G643" s="2" t="str">
        <f t="shared" si="28"/>
        <v/>
      </c>
      <c r="H643" s="2" t="str">
        <f>IF(A643="","",MIN('Loan Inputs'!$B$18,MAX(0,C643+E643-'Loan Inputs'!$B$17)))</f>
        <v/>
      </c>
    </row>
    <row r="644" spans="1:8" ht="22" customHeight="1">
      <c r="A644" s="1" t="str">
        <f>IF(AND('Loan Inputs'!$B$12,638&lt;=IF('Loan Inputs'!$B$12,'Loan Inputs'!$B$7,0)*'Loan Inputs'!$B$14+5*'Loan Inputs'!$B$14,ISNUMBER(G643),G643&gt;0),638,"")</f>
        <v/>
      </c>
      <c r="B644" s="4" t="str">
        <f>IF(A644="","",IF('Loan Inputs'!$B$14=12,DATE(YEAR('Loan Inputs'!$B$8),MONTH('Loan Inputs'!$B$8)+A644,DAY('Loan Inputs'!$B$8)),'Loan Inputs'!$B$8+A644*IF('Loan Inputs'!$B$14=26,14,7)))</f>
        <v/>
      </c>
      <c r="C644" s="2" t="str">
        <f t="shared" si="29"/>
        <v/>
      </c>
      <c r="D644" s="2" t="str">
        <f>IF(A644="","",MIN('Loan Inputs'!$B$17,C644+E644)+H644)</f>
        <v/>
      </c>
      <c r="E644" s="2" t="str">
        <f>IF(A644="","",C644*'Loan Inputs'!$B$15)</f>
        <v/>
      </c>
      <c r="F644" s="2" t="str">
        <f t="shared" si="27"/>
        <v/>
      </c>
      <c r="G644" s="2" t="str">
        <f t="shared" si="28"/>
        <v/>
      </c>
      <c r="H644" s="2" t="str">
        <f>IF(A644="","",MIN('Loan Inputs'!$B$18,MAX(0,C644+E644-'Loan Inputs'!$B$17)))</f>
        <v/>
      </c>
    </row>
    <row r="645" spans="1:8" ht="22" customHeight="1">
      <c r="A645" s="1" t="str">
        <f>IF(AND('Loan Inputs'!$B$12,639&lt;=IF('Loan Inputs'!$B$12,'Loan Inputs'!$B$7,0)*'Loan Inputs'!$B$14+5*'Loan Inputs'!$B$14,ISNUMBER(G644),G644&gt;0),639,"")</f>
        <v/>
      </c>
      <c r="B645" s="4" t="str">
        <f>IF(A645="","",IF('Loan Inputs'!$B$14=12,DATE(YEAR('Loan Inputs'!$B$8),MONTH('Loan Inputs'!$B$8)+A645,DAY('Loan Inputs'!$B$8)),'Loan Inputs'!$B$8+A645*IF('Loan Inputs'!$B$14=26,14,7)))</f>
        <v/>
      </c>
      <c r="C645" s="2" t="str">
        <f t="shared" si="29"/>
        <v/>
      </c>
      <c r="D645" s="2" t="str">
        <f>IF(A645="","",MIN('Loan Inputs'!$B$17,C645+E645)+H645)</f>
        <v/>
      </c>
      <c r="E645" s="2" t="str">
        <f>IF(A645="","",C645*'Loan Inputs'!$B$15)</f>
        <v/>
      </c>
      <c r="F645" s="2" t="str">
        <f t="shared" si="27"/>
        <v/>
      </c>
      <c r="G645" s="2" t="str">
        <f t="shared" si="28"/>
        <v/>
      </c>
      <c r="H645" s="2" t="str">
        <f>IF(A645="","",MIN('Loan Inputs'!$B$18,MAX(0,C645+E645-'Loan Inputs'!$B$17)))</f>
        <v/>
      </c>
    </row>
    <row r="646" spans="1:8" ht="22" customHeight="1">
      <c r="A646" s="1" t="str">
        <f>IF(AND('Loan Inputs'!$B$12,640&lt;=IF('Loan Inputs'!$B$12,'Loan Inputs'!$B$7,0)*'Loan Inputs'!$B$14+5*'Loan Inputs'!$B$14,ISNUMBER(G645),G645&gt;0),640,"")</f>
        <v/>
      </c>
      <c r="B646" s="4" t="str">
        <f>IF(A646="","",IF('Loan Inputs'!$B$14=12,DATE(YEAR('Loan Inputs'!$B$8),MONTH('Loan Inputs'!$B$8)+A646,DAY('Loan Inputs'!$B$8)),'Loan Inputs'!$B$8+A646*IF('Loan Inputs'!$B$14=26,14,7)))</f>
        <v/>
      </c>
      <c r="C646" s="2" t="str">
        <f t="shared" si="29"/>
        <v/>
      </c>
      <c r="D646" s="2" t="str">
        <f>IF(A646="","",MIN('Loan Inputs'!$B$17,C646+E646)+H646)</f>
        <v/>
      </c>
      <c r="E646" s="2" t="str">
        <f>IF(A646="","",C646*'Loan Inputs'!$B$15)</f>
        <v/>
      </c>
      <c r="F646" s="2" t="str">
        <f t="shared" si="27"/>
        <v/>
      </c>
      <c r="G646" s="2" t="str">
        <f t="shared" si="28"/>
        <v/>
      </c>
      <c r="H646" s="2" t="str">
        <f>IF(A646="","",MIN('Loan Inputs'!$B$18,MAX(0,C646+E646-'Loan Inputs'!$B$17)))</f>
        <v/>
      </c>
    </row>
    <row r="647" spans="1:8" ht="22" customHeight="1">
      <c r="A647" s="1" t="str">
        <f>IF(AND('Loan Inputs'!$B$12,641&lt;=IF('Loan Inputs'!$B$12,'Loan Inputs'!$B$7,0)*'Loan Inputs'!$B$14+5*'Loan Inputs'!$B$14,ISNUMBER(G646),G646&gt;0),641,"")</f>
        <v/>
      </c>
      <c r="B647" s="4" t="str">
        <f>IF(A647="","",IF('Loan Inputs'!$B$14=12,DATE(YEAR('Loan Inputs'!$B$8),MONTH('Loan Inputs'!$B$8)+A647,DAY('Loan Inputs'!$B$8)),'Loan Inputs'!$B$8+A647*IF('Loan Inputs'!$B$14=26,14,7)))</f>
        <v/>
      </c>
      <c r="C647" s="2" t="str">
        <f t="shared" si="29"/>
        <v/>
      </c>
      <c r="D647" s="2" t="str">
        <f>IF(A647="","",MIN('Loan Inputs'!$B$17,C647+E647)+H647)</f>
        <v/>
      </c>
      <c r="E647" s="2" t="str">
        <f>IF(A647="","",C647*'Loan Inputs'!$B$15)</f>
        <v/>
      </c>
      <c r="F647" s="2" t="str">
        <f t="shared" ref="F647:F710" si="30">IF(A647="","",MIN(C647,D647-E647))</f>
        <v/>
      </c>
      <c r="G647" s="2" t="str">
        <f t="shared" ref="G647:G710" si="31">IF(A647="","",IF(C647-F647&lt;0.0000001,0,MAX(0,C647-F647)))</f>
        <v/>
      </c>
      <c r="H647" s="2" t="str">
        <f>IF(A647="","",MIN('Loan Inputs'!$B$18,MAX(0,C647+E647-'Loan Inputs'!$B$17)))</f>
        <v/>
      </c>
    </row>
    <row r="648" spans="1:8" ht="22" customHeight="1">
      <c r="A648" s="1" t="str">
        <f>IF(AND('Loan Inputs'!$B$12,642&lt;=IF('Loan Inputs'!$B$12,'Loan Inputs'!$B$7,0)*'Loan Inputs'!$B$14+5*'Loan Inputs'!$B$14,ISNUMBER(G647),G647&gt;0),642,"")</f>
        <v/>
      </c>
      <c r="B648" s="4" t="str">
        <f>IF(A648="","",IF('Loan Inputs'!$B$14=12,DATE(YEAR('Loan Inputs'!$B$8),MONTH('Loan Inputs'!$B$8)+A648,DAY('Loan Inputs'!$B$8)),'Loan Inputs'!$B$8+A648*IF('Loan Inputs'!$B$14=26,14,7)))</f>
        <v/>
      </c>
      <c r="C648" s="2" t="str">
        <f t="shared" ref="C648:C711" si="32">IF(A648="","",G647)</f>
        <v/>
      </c>
      <c r="D648" s="2" t="str">
        <f>IF(A648="","",MIN('Loan Inputs'!$B$17,C648+E648)+H648)</f>
        <v/>
      </c>
      <c r="E648" s="2" t="str">
        <f>IF(A648="","",C648*'Loan Inputs'!$B$15)</f>
        <v/>
      </c>
      <c r="F648" s="2" t="str">
        <f t="shared" si="30"/>
        <v/>
      </c>
      <c r="G648" s="2" t="str">
        <f t="shared" si="31"/>
        <v/>
      </c>
      <c r="H648" s="2" t="str">
        <f>IF(A648="","",MIN('Loan Inputs'!$B$18,MAX(0,C648+E648-'Loan Inputs'!$B$17)))</f>
        <v/>
      </c>
    </row>
    <row r="649" spans="1:8" ht="22" customHeight="1">
      <c r="A649" s="1" t="str">
        <f>IF(AND('Loan Inputs'!$B$12,643&lt;=IF('Loan Inputs'!$B$12,'Loan Inputs'!$B$7,0)*'Loan Inputs'!$B$14+5*'Loan Inputs'!$B$14,ISNUMBER(G648),G648&gt;0),643,"")</f>
        <v/>
      </c>
      <c r="B649" s="4" t="str">
        <f>IF(A649="","",IF('Loan Inputs'!$B$14=12,DATE(YEAR('Loan Inputs'!$B$8),MONTH('Loan Inputs'!$B$8)+A649,DAY('Loan Inputs'!$B$8)),'Loan Inputs'!$B$8+A649*IF('Loan Inputs'!$B$14=26,14,7)))</f>
        <v/>
      </c>
      <c r="C649" s="2" t="str">
        <f t="shared" si="32"/>
        <v/>
      </c>
      <c r="D649" s="2" t="str">
        <f>IF(A649="","",MIN('Loan Inputs'!$B$17,C649+E649)+H649)</f>
        <v/>
      </c>
      <c r="E649" s="2" t="str">
        <f>IF(A649="","",C649*'Loan Inputs'!$B$15)</f>
        <v/>
      </c>
      <c r="F649" s="2" t="str">
        <f t="shared" si="30"/>
        <v/>
      </c>
      <c r="G649" s="2" t="str">
        <f t="shared" si="31"/>
        <v/>
      </c>
      <c r="H649" s="2" t="str">
        <f>IF(A649="","",MIN('Loan Inputs'!$B$18,MAX(0,C649+E649-'Loan Inputs'!$B$17)))</f>
        <v/>
      </c>
    </row>
    <row r="650" spans="1:8" ht="22" customHeight="1">
      <c r="A650" s="1" t="str">
        <f>IF(AND('Loan Inputs'!$B$12,644&lt;=IF('Loan Inputs'!$B$12,'Loan Inputs'!$B$7,0)*'Loan Inputs'!$B$14+5*'Loan Inputs'!$B$14,ISNUMBER(G649),G649&gt;0),644,"")</f>
        <v/>
      </c>
      <c r="B650" s="4" t="str">
        <f>IF(A650="","",IF('Loan Inputs'!$B$14=12,DATE(YEAR('Loan Inputs'!$B$8),MONTH('Loan Inputs'!$B$8)+A650,DAY('Loan Inputs'!$B$8)),'Loan Inputs'!$B$8+A650*IF('Loan Inputs'!$B$14=26,14,7)))</f>
        <v/>
      </c>
      <c r="C650" s="2" t="str">
        <f t="shared" si="32"/>
        <v/>
      </c>
      <c r="D650" s="2" t="str">
        <f>IF(A650="","",MIN('Loan Inputs'!$B$17,C650+E650)+H650)</f>
        <v/>
      </c>
      <c r="E650" s="2" t="str">
        <f>IF(A650="","",C650*'Loan Inputs'!$B$15)</f>
        <v/>
      </c>
      <c r="F650" s="2" t="str">
        <f t="shared" si="30"/>
        <v/>
      </c>
      <c r="G650" s="2" t="str">
        <f t="shared" si="31"/>
        <v/>
      </c>
      <c r="H650" s="2" t="str">
        <f>IF(A650="","",MIN('Loan Inputs'!$B$18,MAX(0,C650+E650-'Loan Inputs'!$B$17)))</f>
        <v/>
      </c>
    </row>
    <row r="651" spans="1:8" ht="22" customHeight="1">
      <c r="A651" s="1" t="str">
        <f>IF(AND('Loan Inputs'!$B$12,645&lt;=IF('Loan Inputs'!$B$12,'Loan Inputs'!$B$7,0)*'Loan Inputs'!$B$14+5*'Loan Inputs'!$B$14,ISNUMBER(G650),G650&gt;0),645,"")</f>
        <v/>
      </c>
      <c r="B651" s="4" t="str">
        <f>IF(A651="","",IF('Loan Inputs'!$B$14=12,DATE(YEAR('Loan Inputs'!$B$8),MONTH('Loan Inputs'!$B$8)+A651,DAY('Loan Inputs'!$B$8)),'Loan Inputs'!$B$8+A651*IF('Loan Inputs'!$B$14=26,14,7)))</f>
        <v/>
      </c>
      <c r="C651" s="2" t="str">
        <f t="shared" si="32"/>
        <v/>
      </c>
      <c r="D651" s="2" t="str">
        <f>IF(A651="","",MIN('Loan Inputs'!$B$17,C651+E651)+H651)</f>
        <v/>
      </c>
      <c r="E651" s="2" t="str">
        <f>IF(A651="","",C651*'Loan Inputs'!$B$15)</f>
        <v/>
      </c>
      <c r="F651" s="2" t="str">
        <f t="shared" si="30"/>
        <v/>
      </c>
      <c r="G651" s="2" t="str">
        <f t="shared" si="31"/>
        <v/>
      </c>
      <c r="H651" s="2" t="str">
        <f>IF(A651="","",MIN('Loan Inputs'!$B$18,MAX(0,C651+E651-'Loan Inputs'!$B$17)))</f>
        <v/>
      </c>
    </row>
    <row r="652" spans="1:8" ht="22" customHeight="1">
      <c r="A652" s="1" t="str">
        <f>IF(AND('Loan Inputs'!$B$12,646&lt;=IF('Loan Inputs'!$B$12,'Loan Inputs'!$B$7,0)*'Loan Inputs'!$B$14+5*'Loan Inputs'!$B$14,ISNUMBER(G651),G651&gt;0),646,"")</f>
        <v/>
      </c>
      <c r="B652" s="4" t="str">
        <f>IF(A652="","",IF('Loan Inputs'!$B$14=12,DATE(YEAR('Loan Inputs'!$B$8),MONTH('Loan Inputs'!$B$8)+A652,DAY('Loan Inputs'!$B$8)),'Loan Inputs'!$B$8+A652*IF('Loan Inputs'!$B$14=26,14,7)))</f>
        <v/>
      </c>
      <c r="C652" s="2" t="str">
        <f t="shared" si="32"/>
        <v/>
      </c>
      <c r="D652" s="2" t="str">
        <f>IF(A652="","",MIN('Loan Inputs'!$B$17,C652+E652)+H652)</f>
        <v/>
      </c>
      <c r="E652" s="2" t="str">
        <f>IF(A652="","",C652*'Loan Inputs'!$B$15)</f>
        <v/>
      </c>
      <c r="F652" s="2" t="str">
        <f t="shared" si="30"/>
        <v/>
      </c>
      <c r="G652" s="2" t="str">
        <f t="shared" si="31"/>
        <v/>
      </c>
      <c r="H652" s="2" t="str">
        <f>IF(A652="","",MIN('Loan Inputs'!$B$18,MAX(0,C652+E652-'Loan Inputs'!$B$17)))</f>
        <v/>
      </c>
    </row>
    <row r="653" spans="1:8" ht="22" customHeight="1">
      <c r="A653" s="1" t="str">
        <f>IF(AND('Loan Inputs'!$B$12,647&lt;=IF('Loan Inputs'!$B$12,'Loan Inputs'!$B$7,0)*'Loan Inputs'!$B$14+5*'Loan Inputs'!$B$14,ISNUMBER(G652),G652&gt;0),647,"")</f>
        <v/>
      </c>
      <c r="B653" s="4" t="str">
        <f>IF(A653="","",IF('Loan Inputs'!$B$14=12,DATE(YEAR('Loan Inputs'!$B$8),MONTH('Loan Inputs'!$B$8)+A653,DAY('Loan Inputs'!$B$8)),'Loan Inputs'!$B$8+A653*IF('Loan Inputs'!$B$14=26,14,7)))</f>
        <v/>
      </c>
      <c r="C653" s="2" t="str">
        <f t="shared" si="32"/>
        <v/>
      </c>
      <c r="D653" s="2" t="str">
        <f>IF(A653="","",MIN('Loan Inputs'!$B$17,C653+E653)+H653)</f>
        <v/>
      </c>
      <c r="E653" s="2" t="str">
        <f>IF(A653="","",C653*'Loan Inputs'!$B$15)</f>
        <v/>
      </c>
      <c r="F653" s="2" t="str">
        <f t="shared" si="30"/>
        <v/>
      </c>
      <c r="G653" s="2" t="str">
        <f t="shared" si="31"/>
        <v/>
      </c>
      <c r="H653" s="2" t="str">
        <f>IF(A653="","",MIN('Loan Inputs'!$B$18,MAX(0,C653+E653-'Loan Inputs'!$B$17)))</f>
        <v/>
      </c>
    </row>
    <row r="654" spans="1:8" ht="22" customHeight="1">
      <c r="A654" s="1" t="str">
        <f>IF(AND('Loan Inputs'!$B$12,648&lt;=IF('Loan Inputs'!$B$12,'Loan Inputs'!$B$7,0)*'Loan Inputs'!$B$14+5*'Loan Inputs'!$B$14,ISNUMBER(G653),G653&gt;0),648,"")</f>
        <v/>
      </c>
      <c r="B654" s="4" t="str">
        <f>IF(A654="","",IF('Loan Inputs'!$B$14=12,DATE(YEAR('Loan Inputs'!$B$8),MONTH('Loan Inputs'!$B$8)+A654,DAY('Loan Inputs'!$B$8)),'Loan Inputs'!$B$8+A654*IF('Loan Inputs'!$B$14=26,14,7)))</f>
        <v/>
      </c>
      <c r="C654" s="2" t="str">
        <f t="shared" si="32"/>
        <v/>
      </c>
      <c r="D654" s="2" t="str">
        <f>IF(A654="","",MIN('Loan Inputs'!$B$17,C654+E654)+H654)</f>
        <v/>
      </c>
      <c r="E654" s="2" t="str">
        <f>IF(A654="","",C654*'Loan Inputs'!$B$15)</f>
        <v/>
      </c>
      <c r="F654" s="2" t="str">
        <f t="shared" si="30"/>
        <v/>
      </c>
      <c r="G654" s="2" t="str">
        <f t="shared" si="31"/>
        <v/>
      </c>
      <c r="H654" s="2" t="str">
        <f>IF(A654="","",MIN('Loan Inputs'!$B$18,MAX(0,C654+E654-'Loan Inputs'!$B$17)))</f>
        <v/>
      </c>
    </row>
    <row r="655" spans="1:8" ht="22" customHeight="1">
      <c r="A655" s="1" t="str">
        <f>IF(AND('Loan Inputs'!$B$12,649&lt;=IF('Loan Inputs'!$B$12,'Loan Inputs'!$B$7,0)*'Loan Inputs'!$B$14+5*'Loan Inputs'!$B$14,ISNUMBER(G654),G654&gt;0),649,"")</f>
        <v/>
      </c>
      <c r="B655" s="4" t="str">
        <f>IF(A655="","",IF('Loan Inputs'!$B$14=12,DATE(YEAR('Loan Inputs'!$B$8),MONTH('Loan Inputs'!$B$8)+A655,DAY('Loan Inputs'!$B$8)),'Loan Inputs'!$B$8+A655*IF('Loan Inputs'!$B$14=26,14,7)))</f>
        <v/>
      </c>
      <c r="C655" s="2" t="str">
        <f t="shared" si="32"/>
        <v/>
      </c>
      <c r="D655" s="2" t="str">
        <f>IF(A655="","",MIN('Loan Inputs'!$B$17,C655+E655)+H655)</f>
        <v/>
      </c>
      <c r="E655" s="2" t="str">
        <f>IF(A655="","",C655*'Loan Inputs'!$B$15)</f>
        <v/>
      </c>
      <c r="F655" s="2" t="str">
        <f t="shared" si="30"/>
        <v/>
      </c>
      <c r="G655" s="2" t="str">
        <f t="shared" si="31"/>
        <v/>
      </c>
      <c r="H655" s="2" t="str">
        <f>IF(A655="","",MIN('Loan Inputs'!$B$18,MAX(0,C655+E655-'Loan Inputs'!$B$17)))</f>
        <v/>
      </c>
    </row>
    <row r="656" spans="1:8" ht="22" customHeight="1">
      <c r="A656" s="1" t="str">
        <f>IF(AND('Loan Inputs'!$B$12,650&lt;=IF('Loan Inputs'!$B$12,'Loan Inputs'!$B$7,0)*'Loan Inputs'!$B$14+5*'Loan Inputs'!$B$14,ISNUMBER(G655),G655&gt;0),650,"")</f>
        <v/>
      </c>
      <c r="B656" s="4" t="str">
        <f>IF(A656="","",IF('Loan Inputs'!$B$14=12,DATE(YEAR('Loan Inputs'!$B$8),MONTH('Loan Inputs'!$B$8)+A656,DAY('Loan Inputs'!$B$8)),'Loan Inputs'!$B$8+A656*IF('Loan Inputs'!$B$14=26,14,7)))</f>
        <v/>
      </c>
      <c r="C656" s="2" t="str">
        <f t="shared" si="32"/>
        <v/>
      </c>
      <c r="D656" s="2" t="str">
        <f>IF(A656="","",MIN('Loan Inputs'!$B$17,C656+E656)+H656)</f>
        <v/>
      </c>
      <c r="E656" s="2" t="str">
        <f>IF(A656="","",C656*'Loan Inputs'!$B$15)</f>
        <v/>
      </c>
      <c r="F656" s="2" t="str">
        <f t="shared" si="30"/>
        <v/>
      </c>
      <c r="G656" s="2" t="str">
        <f t="shared" si="31"/>
        <v/>
      </c>
      <c r="H656" s="2" t="str">
        <f>IF(A656="","",MIN('Loan Inputs'!$B$18,MAX(0,C656+E656-'Loan Inputs'!$B$17)))</f>
        <v/>
      </c>
    </row>
    <row r="657" spans="1:8" ht="22" customHeight="1">
      <c r="A657" s="1" t="str">
        <f>IF(AND('Loan Inputs'!$B$12,651&lt;=IF('Loan Inputs'!$B$12,'Loan Inputs'!$B$7,0)*'Loan Inputs'!$B$14+5*'Loan Inputs'!$B$14,ISNUMBER(G656),G656&gt;0),651,"")</f>
        <v/>
      </c>
      <c r="B657" s="4" t="str">
        <f>IF(A657="","",IF('Loan Inputs'!$B$14=12,DATE(YEAR('Loan Inputs'!$B$8),MONTH('Loan Inputs'!$B$8)+A657,DAY('Loan Inputs'!$B$8)),'Loan Inputs'!$B$8+A657*IF('Loan Inputs'!$B$14=26,14,7)))</f>
        <v/>
      </c>
      <c r="C657" s="2" t="str">
        <f t="shared" si="32"/>
        <v/>
      </c>
      <c r="D657" s="2" t="str">
        <f>IF(A657="","",MIN('Loan Inputs'!$B$17,C657+E657)+H657)</f>
        <v/>
      </c>
      <c r="E657" s="2" t="str">
        <f>IF(A657="","",C657*'Loan Inputs'!$B$15)</f>
        <v/>
      </c>
      <c r="F657" s="2" t="str">
        <f t="shared" si="30"/>
        <v/>
      </c>
      <c r="G657" s="2" t="str">
        <f t="shared" si="31"/>
        <v/>
      </c>
      <c r="H657" s="2" t="str">
        <f>IF(A657="","",MIN('Loan Inputs'!$B$18,MAX(0,C657+E657-'Loan Inputs'!$B$17)))</f>
        <v/>
      </c>
    </row>
    <row r="658" spans="1:8" ht="22" customHeight="1">
      <c r="A658" s="1" t="str">
        <f>IF(AND('Loan Inputs'!$B$12,652&lt;=IF('Loan Inputs'!$B$12,'Loan Inputs'!$B$7,0)*'Loan Inputs'!$B$14+5*'Loan Inputs'!$B$14,ISNUMBER(G657),G657&gt;0),652,"")</f>
        <v/>
      </c>
      <c r="B658" s="4" t="str">
        <f>IF(A658="","",IF('Loan Inputs'!$B$14=12,DATE(YEAR('Loan Inputs'!$B$8),MONTH('Loan Inputs'!$B$8)+A658,DAY('Loan Inputs'!$B$8)),'Loan Inputs'!$B$8+A658*IF('Loan Inputs'!$B$14=26,14,7)))</f>
        <v/>
      </c>
      <c r="C658" s="2" t="str">
        <f t="shared" si="32"/>
        <v/>
      </c>
      <c r="D658" s="2" t="str">
        <f>IF(A658="","",MIN('Loan Inputs'!$B$17,C658+E658)+H658)</f>
        <v/>
      </c>
      <c r="E658" s="2" t="str">
        <f>IF(A658="","",C658*'Loan Inputs'!$B$15)</f>
        <v/>
      </c>
      <c r="F658" s="2" t="str">
        <f t="shared" si="30"/>
        <v/>
      </c>
      <c r="G658" s="2" t="str">
        <f t="shared" si="31"/>
        <v/>
      </c>
      <c r="H658" s="2" t="str">
        <f>IF(A658="","",MIN('Loan Inputs'!$B$18,MAX(0,C658+E658-'Loan Inputs'!$B$17)))</f>
        <v/>
      </c>
    </row>
    <row r="659" spans="1:8" ht="22" customHeight="1">
      <c r="A659" s="1" t="str">
        <f>IF(AND('Loan Inputs'!$B$12,653&lt;=IF('Loan Inputs'!$B$12,'Loan Inputs'!$B$7,0)*'Loan Inputs'!$B$14+5*'Loan Inputs'!$B$14,ISNUMBER(G658),G658&gt;0),653,"")</f>
        <v/>
      </c>
      <c r="B659" s="4" t="str">
        <f>IF(A659="","",IF('Loan Inputs'!$B$14=12,DATE(YEAR('Loan Inputs'!$B$8),MONTH('Loan Inputs'!$B$8)+A659,DAY('Loan Inputs'!$B$8)),'Loan Inputs'!$B$8+A659*IF('Loan Inputs'!$B$14=26,14,7)))</f>
        <v/>
      </c>
      <c r="C659" s="2" t="str">
        <f t="shared" si="32"/>
        <v/>
      </c>
      <c r="D659" s="2" t="str">
        <f>IF(A659="","",MIN('Loan Inputs'!$B$17,C659+E659)+H659)</f>
        <v/>
      </c>
      <c r="E659" s="2" t="str">
        <f>IF(A659="","",C659*'Loan Inputs'!$B$15)</f>
        <v/>
      </c>
      <c r="F659" s="2" t="str">
        <f t="shared" si="30"/>
        <v/>
      </c>
      <c r="G659" s="2" t="str">
        <f t="shared" si="31"/>
        <v/>
      </c>
      <c r="H659" s="2" t="str">
        <f>IF(A659="","",MIN('Loan Inputs'!$B$18,MAX(0,C659+E659-'Loan Inputs'!$B$17)))</f>
        <v/>
      </c>
    </row>
    <row r="660" spans="1:8" ht="22" customHeight="1">
      <c r="A660" s="1" t="str">
        <f>IF(AND('Loan Inputs'!$B$12,654&lt;=IF('Loan Inputs'!$B$12,'Loan Inputs'!$B$7,0)*'Loan Inputs'!$B$14+5*'Loan Inputs'!$B$14,ISNUMBER(G659),G659&gt;0),654,"")</f>
        <v/>
      </c>
      <c r="B660" s="4" t="str">
        <f>IF(A660="","",IF('Loan Inputs'!$B$14=12,DATE(YEAR('Loan Inputs'!$B$8),MONTH('Loan Inputs'!$B$8)+A660,DAY('Loan Inputs'!$B$8)),'Loan Inputs'!$B$8+A660*IF('Loan Inputs'!$B$14=26,14,7)))</f>
        <v/>
      </c>
      <c r="C660" s="2" t="str">
        <f t="shared" si="32"/>
        <v/>
      </c>
      <c r="D660" s="2" t="str">
        <f>IF(A660="","",MIN('Loan Inputs'!$B$17,C660+E660)+H660)</f>
        <v/>
      </c>
      <c r="E660" s="2" t="str">
        <f>IF(A660="","",C660*'Loan Inputs'!$B$15)</f>
        <v/>
      </c>
      <c r="F660" s="2" t="str">
        <f t="shared" si="30"/>
        <v/>
      </c>
      <c r="G660" s="2" t="str">
        <f t="shared" si="31"/>
        <v/>
      </c>
      <c r="H660" s="2" t="str">
        <f>IF(A660="","",MIN('Loan Inputs'!$B$18,MAX(0,C660+E660-'Loan Inputs'!$B$17)))</f>
        <v/>
      </c>
    </row>
    <row r="661" spans="1:8" ht="22" customHeight="1">
      <c r="A661" s="1" t="str">
        <f>IF(AND('Loan Inputs'!$B$12,655&lt;=IF('Loan Inputs'!$B$12,'Loan Inputs'!$B$7,0)*'Loan Inputs'!$B$14+5*'Loan Inputs'!$B$14,ISNUMBER(G660),G660&gt;0),655,"")</f>
        <v/>
      </c>
      <c r="B661" s="4" t="str">
        <f>IF(A661="","",IF('Loan Inputs'!$B$14=12,DATE(YEAR('Loan Inputs'!$B$8),MONTH('Loan Inputs'!$B$8)+A661,DAY('Loan Inputs'!$B$8)),'Loan Inputs'!$B$8+A661*IF('Loan Inputs'!$B$14=26,14,7)))</f>
        <v/>
      </c>
      <c r="C661" s="2" t="str">
        <f t="shared" si="32"/>
        <v/>
      </c>
      <c r="D661" s="2" t="str">
        <f>IF(A661="","",MIN('Loan Inputs'!$B$17,C661+E661)+H661)</f>
        <v/>
      </c>
      <c r="E661" s="2" t="str">
        <f>IF(A661="","",C661*'Loan Inputs'!$B$15)</f>
        <v/>
      </c>
      <c r="F661" s="2" t="str">
        <f t="shared" si="30"/>
        <v/>
      </c>
      <c r="G661" s="2" t="str">
        <f t="shared" si="31"/>
        <v/>
      </c>
      <c r="H661" s="2" t="str">
        <f>IF(A661="","",MIN('Loan Inputs'!$B$18,MAX(0,C661+E661-'Loan Inputs'!$B$17)))</f>
        <v/>
      </c>
    </row>
    <row r="662" spans="1:8" ht="22" customHeight="1">
      <c r="A662" s="1" t="str">
        <f>IF(AND('Loan Inputs'!$B$12,656&lt;=IF('Loan Inputs'!$B$12,'Loan Inputs'!$B$7,0)*'Loan Inputs'!$B$14+5*'Loan Inputs'!$B$14,ISNUMBER(G661),G661&gt;0),656,"")</f>
        <v/>
      </c>
      <c r="B662" s="4" t="str">
        <f>IF(A662="","",IF('Loan Inputs'!$B$14=12,DATE(YEAR('Loan Inputs'!$B$8),MONTH('Loan Inputs'!$B$8)+A662,DAY('Loan Inputs'!$B$8)),'Loan Inputs'!$B$8+A662*IF('Loan Inputs'!$B$14=26,14,7)))</f>
        <v/>
      </c>
      <c r="C662" s="2" t="str">
        <f t="shared" si="32"/>
        <v/>
      </c>
      <c r="D662" s="2" t="str">
        <f>IF(A662="","",MIN('Loan Inputs'!$B$17,C662+E662)+H662)</f>
        <v/>
      </c>
      <c r="E662" s="2" t="str">
        <f>IF(A662="","",C662*'Loan Inputs'!$B$15)</f>
        <v/>
      </c>
      <c r="F662" s="2" t="str">
        <f t="shared" si="30"/>
        <v/>
      </c>
      <c r="G662" s="2" t="str">
        <f t="shared" si="31"/>
        <v/>
      </c>
      <c r="H662" s="2" t="str">
        <f>IF(A662="","",MIN('Loan Inputs'!$B$18,MAX(0,C662+E662-'Loan Inputs'!$B$17)))</f>
        <v/>
      </c>
    </row>
    <row r="663" spans="1:8" ht="22" customHeight="1">
      <c r="A663" s="1" t="str">
        <f>IF(AND('Loan Inputs'!$B$12,657&lt;=IF('Loan Inputs'!$B$12,'Loan Inputs'!$B$7,0)*'Loan Inputs'!$B$14+5*'Loan Inputs'!$B$14,ISNUMBER(G662),G662&gt;0),657,"")</f>
        <v/>
      </c>
      <c r="B663" s="4" t="str">
        <f>IF(A663="","",IF('Loan Inputs'!$B$14=12,DATE(YEAR('Loan Inputs'!$B$8),MONTH('Loan Inputs'!$B$8)+A663,DAY('Loan Inputs'!$B$8)),'Loan Inputs'!$B$8+A663*IF('Loan Inputs'!$B$14=26,14,7)))</f>
        <v/>
      </c>
      <c r="C663" s="2" t="str">
        <f t="shared" si="32"/>
        <v/>
      </c>
      <c r="D663" s="2" t="str">
        <f>IF(A663="","",MIN('Loan Inputs'!$B$17,C663+E663)+H663)</f>
        <v/>
      </c>
      <c r="E663" s="2" t="str">
        <f>IF(A663="","",C663*'Loan Inputs'!$B$15)</f>
        <v/>
      </c>
      <c r="F663" s="2" t="str">
        <f t="shared" si="30"/>
        <v/>
      </c>
      <c r="G663" s="2" t="str">
        <f t="shared" si="31"/>
        <v/>
      </c>
      <c r="H663" s="2" t="str">
        <f>IF(A663="","",MIN('Loan Inputs'!$B$18,MAX(0,C663+E663-'Loan Inputs'!$B$17)))</f>
        <v/>
      </c>
    </row>
    <row r="664" spans="1:8" ht="22" customHeight="1">
      <c r="A664" s="1" t="str">
        <f>IF(AND('Loan Inputs'!$B$12,658&lt;=IF('Loan Inputs'!$B$12,'Loan Inputs'!$B$7,0)*'Loan Inputs'!$B$14+5*'Loan Inputs'!$B$14,ISNUMBER(G663),G663&gt;0),658,"")</f>
        <v/>
      </c>
      <c r="B664" s="4" t="str">
        <f>IF(A664="","",IF('Loan Inputs'!$B$14=12,DATE(YEAR('Loan Inputs'!$B$8),MONTH('Loan Inputs'!$B$8)+A664,DAY('Loan Inputs'!$B$8)),'Loan Inputs'!$B$8+A664*IF('Loan Inputs'!$B$14=26,14,7)))</f>
        <v/>
      </c>
      <c r="C664" s="2" t="str">
        <f t="shared" si="32"/>
        <v/>
      </c>
      <c r="D664" s="2" t="str">
        <f>IF(A664="","",MIN('Loan Inputs'!$B$17,C664+E664)+H664)</f>
        <v/>
      </c>
      <c r="E664" s="2" t="str">
        <f>IF(A664="","",C664*'Loan Inputs'!$B$15)</f>
        <v/>
      </c>
      <c r="F664" s="2" t="str">
        <f t="shared" si="30"/>
        <v/>
      </c>
      <c r="G664" s="2" t="str">
        <f t="shared" si="31"/>
        <v/>
      </c>
      <c r="H664" s="2" t="str">
        <f>IF(A664="","",MIN('Loan Inputs'!$B$18,MAX(0,C664+E664-'Loan Inputs'!$B$17)))</f>
        <v/>
      </c>
    </row>
    <row r="665" spans="1:8" ht="22" customHeight="1">
      <c r="A665" s="1" t="str">
        <f>IF(AND('Loan Inputs'!$B$12,659&lt;=IF('Loan Inputs'!$B$12,'Loan Inputs'!$B$7,0)*'Loan Inputs'!$B$14+5*'Loan Inputs'!$B$14,ISNUMBER(G664),G664&gt;0),659,"")</f>
        <v/>
      </c>
      <c r="B665" s="4" t="str">
        <f>IF(A665="","",IF('Loan Inputs'!$B$14=12,DATE(YEAR('Loan Inputs'!$B$8),MONTH('Loan Inputs'!$B$8)+A665,DAY('Loan Inputs'!$B$8)),'Loan Inputs'!$B$8+A665*IF('Loan Inputs'!$B$14=26,14,7)))</f>
        <v/>
      </c>
      <c r="C665" s="2" t="str">
        <f t="shared" si="32"/>
        <v/>
      </c>
      <c r="D665" s="2" t="str">
        <f>IF(A665="","",MIN('Loan Inputs'!$B$17,C665+E665)+H665)</f>
        <v/>
      </c>
      <c r="E665" s="2" t="str">
        <f>IF(A665="","",C665*'Loan Inputs'!$B$15)</f>
        <v/>
      </c>
      <c r="F665" s="2" t="str">
        <f t="shared" si="30"/>
        <v/>
      </c>
      <c r="G665" s="2" t="str">
        <f t="shared" si="31"/>
        <v/>
      </c>
      <c r="H665" s="2" t="str">
        <f>IF(A665="","",MIN('Loan Inputs'!$B$18,MAX(0,C665+E665-'Loan Inputs'!$B$17)))</f>
        <v/>
      </c>
    </row>
    <row r="666" spans="1:8" ht="22" customHeight="1">
      <c r="A666" s="1" t="str">
        <f>IF(AND('Loan Inputs'!$B$12,660&lt;=IF('Loan Inputs'!$B$12,'Loan Inputs'!$B$7,0)*'Loan Inputs'!$B$14+5*'Loan Inputs'!$B$14,ISNUMBER(G665),G665&gt;0),660,"")</f>
        <v/>
      </c>
      <c r="B666" s="4" t="str">
        <f>IF(A666="","",IF('Loan Inputs'!$B$14=12,DATE(YEAR('Loan Inputs'!$B$8),MONTH('Loan Inputs'!$B$8)+A666,DAY('Loan Inputs'!$B$8)),'Loan Inputs'!$B$8+A666*IF('Loan Inputs'!$B$14=26,14,7)))</f>
        <v/>
      </c>
      <c r="C666" s="2" t="str">
        <f t="shared" si="32"/>
        <v/>
      </c>
      <c r="D666" s="2" t="str">
        <f>IF(A666="","",MIN('Loan Inputs'!$B$17,C666+E666)+H666)</f>
        <v/>
      </c>
      <c r="E666" s="2" t="str">
        <f>IF(A666="","",C666*'Loan Inputs'!$B$15)</f>
        <v/>
      </c>
      <c r="F666" s="2" t="str">
        <f t="shared" si="30"/>
        <v/>
      </c>
      <c r="G666" s="2" t="str">
        <f t="shared" si="31"/>
        <v/>
      </c>
      <c r="H666" s="2" t="str">
        <f>IF(A666="","",MIN('Loan Inputs'!$B$18,MAX(0,C666+E666-'Loan Inputs'!$B$17)))</f>
        <v/>
      </c>
    </row>
    <row r="667" spans="1:8" ht="22" customHeight="1">
      <c r="A667" s="1" t="str">
        <f>IF(AND('Loan Inputs'!$B$12,661&lt;=IF('Loan Inputs'!$B$12,'Loan Inputs'!$B$7,0)*'Loan Inputs'!$B$14+5*'Loan Inputs'!$B$14,ISNUMBER(G666),G666&gt;0),661,"")</f>
        <v/>
      </c>
      <c r="B667" s="4" t="str">
        <f>IF(A667="","",IF('Loan Inputs'!$B$14=12,DATE(YEAR('Loan Inputs'!$B$8),MONTH('Loan Inputs'!$B$8)+A667,DAY('Loan Inputs'!$B$8)),'Loan Inputs'!$B$8+A667*IF('Loan Inputs'!$B$14=26,14,7)))</f>
        <v/>
      </c>
      <c r="C667" s="2" t="str">
        <f t="shared" si="32"/>
        <v/>
      </c>
      <c r="D667" s="2" t="str">
        <f>IF(A667="","",MIN('Loan Inputs'!$B$17,C667+E667)+H667)</f>
        <v/>
      </c>
      <c r="E667" s="2" t="str">
        <f>IF(A667="","",C667*'Loan Inputs'!$B$15)</f>
        <v/>
      </c>
      <c r="F667" s="2" t="str">
        <f t="shared" si="30"/>
        <v/>
      </c>
      <c r="G667" s="2" t="str">
        <f t="shared" si="31"/>
        <v/>
      </c>
      <c r="H667" s="2" t="str">
        <f>IF(A667="","",MIN('Loan Inputs'!$B$18,MAX(0,C667+E667-'Loan Inputs'!$B$17)))</f>
        <v/>
      </c>
    </row>
    <row r="668" spans="1:8" ht="22" customHeight="1">
      <c r="A668" s="1" t="str">
        <f>IF(AND('Loan Inputs'!$B$12,662&lt;=IF('Loan Inputs'!$B$12,'Loan Inputs'!$B$7,0)*'Loan Inputs'!$B$14+5*'Loan Inputs'!$B$14,ISNUMBER(G667),G667&gt;0),662,"")</f>
        <v/>
      </c>
      <c r="B668" s="4" t="str">
        <f>IF(A668="","",IF('Loan Inputs'!$B$14=12,DATE(YEAR('Loan Inputs'!$B$8),MONTH('Loan Inputs'!$B$8)+A668,DAY('Loan Inputs'!$B$8)),'Loan Inputs'!$B$8+A668*IF('Loan Inputs'!$B$14=26,14,7)))</f>
        <v/>
      </c>
      <c r="C668" s="2" t="str">
        <f t="shared" si="32"/>
        <v/>
      </c>
      <c r="D668" s="2" t="str">
        <f>IF(A668="","",MIN('Loan Inputs'!$B$17,C668+E668)+H668)</f>
        <v/>
      </c>
      <c r="E668" s="2" t="str">
        <f>IF(A668="","",C668*'Loan Inputs'!$B$15)</f>
        <v/>
      </c>
      <c r="F668" s="2" t="str">
        <f t="shared" si="30"/>
        <v/>
      </c>
      <c r="G668" s="2" t="str">
        <f t="shared" si="31"/>
        <v/>
      </c>
      <c r="H668" s="2" t="str">
        <f>IF(A668="","",MIN('Loan Inputs'!$B$18,MAX(0,C668+E668-'Loan Inputs'!$B$17)))</f>
        <v/>
      </c>
    </row>
    <row r="669" spans="1:8" ht="22" customHeight="1">
      <c r="A669" s="1" t="str">
        <f>IF(AND('Loan Inputs'!$B$12,663&lt;=IF('Loan Inputs'!$B$12,'Loan Inputs'!$B$7,0)*'Loan Inputs'!$B$14+5*'Loan Inputs'!$B$14,ISNUMBER(G668),G668&gt;0),663,"")</f>
        <v/>
      </c>
      <c r="B669" s="4" t="str">
        <f>IF(A669="","",IF('Loan Inputs'!$B$14=12,DATE(YEAR('Loan Inputs'!$B$8),MONTH('Loan Inputs'!$B$8)+A669,DAY('Loan Inputs'!$B$8)),'Loan Inputs'!$B$8+A669*IF('Loan Inputs'!$B$14=26,14,7)))</f>
        <v/>
      </c>
      <c r="C669" s="2" t="str">
        <f t="shared" si="32"/>
        <v/>
      </c>
      <c r="D669" s="2" t="str">
        <f>IF(A669="","",MIN('Loan Inputs'!$B$17,C669+E669)+H669)</f>
        <v/>
      </c>
      <c r="E669" s="2" t="str">
        <f>IF(A669="","",C669*'Loan Inputs'!$B$15)</f>
        <v/>
      </c>
      <c r="F669" s="2" t="str">
        <f t="shared" si="30"/>
        <v/>
      </c>
      <c r="G669" s="2" t="str">
        <f t="shared" si="31"/>
        <v/>
      </c>
      <c r="H669" s="2" t="str">
        <f>IF(A669="","",MIN('Loan Inputs'!$B$18,MAX(0,C669+E669-'Loan Inputs'!$B$17)))</f>
        <v/>
      </c>
    </row>
    <row r="670" spans="1:8" ht="22" customHeight="1">
      <c r="A670" s="1" t="str">
        <f>IF(AND('Loan Inputs'!$B$12,664&lt;=IF('Loan Inputs'!$B$12,'Loan Inputs'!$B$7,0)*'Loan Inputs'!$B$14+5*'Loan Inputs'!$B$14,ISNUMBER(G669),G669&gt;0),664,"")</f>
        <v/>
      </c>
      <c r="B670" s="4" t="str">
        <f>IF(A670="","",IF('Loan Inputs'!$B$14=12,DATE(YEAR('Loan Inputs'!$B$8),MONTH('Loan Inputs'!$B$8)+A670,DAY('Loan Inputs'!$B$8)),'Loan Inputs'!$B$8+A670*IF('Loan Inputs'!$B$14=26,14,7)))</f>
        <v/>
      </c>
      <c r="C670" s="2" t="str">
        <f t="shared" si="32"/>
        <v/>
      </c>
      <c r="D670" s="2" t="str">
        <f>IF(A670="","",MIN('Loan Inputs'!$B$17,C670+E670)+H670)</f>
        <v/>
      </c>
      <c r="E670" s="2" t="str">
        <f>IF(A670="","",C670*'Loan Inputs'!$B$15)</f>
        <v/>
      </c>
      <c r="F670" s="2" t="str">
        <f t="shared" si="30"/>
        <v/>
      </c>
      <c r="G670" s="2" t="str">
        <f t="shared" si="31"/>
        <v/>
      </c>
      <c r="H670" s="2" t="str">
        <f>IF(A670="","",MIN('Loan Inputs'!$B$18,MAX(0,C670+E670-'Loan Inputs'!$B$17)))</f>
        <v/>
      </c>
    </row>
    <row r="671" spans="1:8" ht="22" customHeight="1">
      <c r="A671" s="1" t="str">
        <f>IF(AND('Loan Inputs'!$B$12,665&lt;=IF('Loan Inputs'!$B$12,'Loan Inputs'!$B$7,0)*'Loan Inputs'!$B$14+5*'Loan Inputs'!$B$14,ISNUMBER(G670),G670&gt;0),665,"")</f>
        <v/>
      </c>
      <c r="B671" s="4" t="str">
        <f>IF(A671="","",IF('Loan Inputs'!$B$14=12,DATE(YEAR('Loan Inputs'!$B$8),MONTH('Loan Inputs'!$B$8)+A671,DAY('Loan Inputs'!$B$8)),'Loan Inputs'!$B$8+A671*IF('Loan Inputs'!$B$14=26,14,7)))</f>
        <v/>
      </c>
      <c r="C671" s="2" t="str">
        <f t="shared" si="32"/>
        <v/>
      </c>
      <c r="D671" s="2" t="str">
        <f>IF(A671="","",MIN('Loan Inputs'!$B$17,C671+E671)+H671)</f>
        <v/>
      </c>
      <c r="E671" s="2" t="str">
        <f>IF(A671="","",C671*'Loan Inputs'!$B$15)</f>
        <v/>
      </c>
      <c r="F671" s="2" t="str">
        <f t="shared" si="30"/>
        <v/>
      </c>
      <c r="G671" s="2" t="str">
        <f t="shared" si="31"/>
        <v/>
      </c>
      <c r="H671" s="2" t="str">
        <f>IF(A671="","",MIN('Loan Inputs'!$B$18,MAX(0,C671+E671-'Loan Inputs'!$B$17)))</f>
        <v/>
      </c>
    </row>
    <row r="672" spans="1:8" ht="22" customHeight="1">
      <c r="A672" s="1" t="str">
        <f>IF(AND('Loan Inputs'!$B$12,666&lt;=IF('Loan Inputs'!$B$12,'Loan Inputs'!$B$7,0)*'Loan Inputs'!$B$14+5*'Loan Inputs'!$B$14,ISNUMBER(G671),G671&gt;0),666,"")</f>
        <v/>
      </c>
      <c r="B672" s="4" t="str">
        <f>IF(A672="","",IF('Loan Inputs'!$B$14=12,DATE(YEAR('Loan Inputs'!$B$8),MONTH('Loan Inputs'!$B$8)+A672,DAY('Loan Inputs'!$B$8)),'Loan Inputs'!$B$8+A672*IF('Loan Inputs'!$B$14=26,14,7)))</f>
        <v/>
      </c>
      <c r="C672" s="2" t="str">
        <f t="shared" si="32"/>
        <v/>
      </c>
      <c r="D672" s="2" t="str">
        <f>IF(A672="","",MIN('Loan Inputs'!$B$17,C672+E672)+H672)</f>
        <v/>
      </c>
      <c r="E672" s="2" t="str">
        <f>IF(A672="","",C672*'Loan Inputs'!$B$15)</f>
        <v/>
      </c>
      <c r="F672" s="2" t="str">
        <f t="shared" si="30"/>
        <v/>
      </c>
      <c r="G672" s="2" t="str">
        <f t="shared" si="31"/>
        <v/>
      </c>
      <c r="H672" s="2" t="str">
        <f>IF(A672="","",MIN('Loan Inputs'!$B$18,MAX(0,C672+E672-'Loan Inputs'!$B$17)))</f>
        <v/>
      </c>
    </row>
    <row r="673" spans="1:8" ht="22" customHeight="1">
      <c r="A673" s="1" t="str">
        <f>IF(AND('Loan Inputs'!$B$12,667&lt;=IF('Loan Inputs'!$B$12,'Loan Inputs'!$B$7,0)*'Loan Inputs'!$B$14+5*'Loan Inputs'!$B$14,ISNUMBER(G672),G672&gt;0),667,"")</f>
        <v/>
      </c>
      <c r="B673" s="4" t="str">
        <f>IF(A673="","",IF('Loan Inputs'!$B$14=12,DATE(YEAR('Loan Inputs'!$B$8),MONTH('Loan Inputs'!$B$8)+A673,DAY('Loan Inputs'!$B$8)),'Loan Inputs'!$B$8+A673*IF('Loan Inputs'!$B$14=26,14,7)))</f>
        <v/>
      </c>
      <c r="C673" s="2" t="str">
        <f t="shared" si="32"/>
        <v/>
      </c>
      <c r="D673" s="2" t="str">
        <f>IF(A673="","",MIN('Loan Inputs'!$B$17,C673+E673)+H673)</f>
        <v/>
      </c>
      <c r="E673" s="2" t="str">
        <f>IF(A673="","",C673*'Loan Inputs'!$B$15)</f>
        <v/>
      </c>
      <c r="F673" s="2" t="str">
        <f t="shared" si="30"/>
        <v/>
      </c>
      <c r="G673" s="2" t="str">
        <f t="shared" si="31"/>
        <v/>
      </c>
      <c r="H673" s="2" t="str">
        <f>IF(A673="","",MIN('Loan Inputs'!$B$18,MAX(0,C673+E673-'Loan Inputs'!$B$17)))</f>
        <v/>
      </c>
    </row>
    <row r="674" spans="1:8" ht="22" customHeight="1">
      <c r="A674" s="1" t="str">
        <f>IF(AND('Loan Inputs'!$B$12,668&lt;=IF('Loan Inputs'!$B$12,'Loan Inputs'!$B$7,0)*'Loan Inputs'!$B$14+5*'Loan Inputs'!$B$14,ISNUMBER(G673),G673&gt;0),668,"")</f>
        <v/>
      </c>
      <c r="B674" s="4" t="str">
        <f>IF(A674="","",IF('Loan Inputs'!$B$14=12,DATE(YEAR('Loan Inputs'!$B$8),MONTH('Loan Inputs'!$B$8)+A674,DAY('Loan Inputs'!$B$8)),'Loan Inputs'!$B$8+A674*IF('Loan Inputs'!$B$14=26,14,7)))</f>
        <v/>
      </c>
      <c r="C674" s="2" t="str">
        <f t="shared" si="32"/>
        <v/>
      </c>
      <c r="D674" s="2" t="str">
        <f>IF(A674="","",MIN('Loan Inputs'!$B$17,C674+E674)+H674)</f>
        <v/>
      </c>
      <c r="E674" s="2" t="str">
        <f>IF(A674="","",C674*'Loan Inputs'!$B$15)</f>
        <v/>
      </c>
      <c r="F674" s="2" t="str">
        <f t="shared" si="30"/>
        <v/>
      </c>
      <c r="G674" s="2" t="str">
        <f t="shared" si="31"/>
        <v/>
      </c>
      <c r="H674" s="2" t="str">
        <f>IF(A674="","",MIN('Loan Inputs'!$B$18,MAX(0,C674+E674-'Loan Inputs'!$B$17)))</f>
        <v/>
      </c>
    </row>
    <row r="675" spans="1:8" ht="22" customHeight="1">
      <c r="A675" s="1" t="str">
        <f>IF(AND('Loan Inputs'!$B$12,669&lt;=IF('Loan Inputs'!$B$12,'Loan Inputs'!$B$7,0)*'Loan Inputs'!$B$14+5*'Loan Inputs'!$B$14,ISNUMBER(G674),G674&gt;0),669,"")</f>
        <v/>
      </c>
      <c r="B675" s="4" t="str">
        <f>IF(A675="","",IF('Loan Inputs'!$B$14=12,DATE(YEAR('Loan Inputs'!$B$8),MONTH('Loan Inputs'!$B$8)+A675,DAY('Loan Inputs'!$B$8)),'Loan Inputs'!$B$8+A675*IF('Loan Inputs'!$B$14=26,14,7)))</f>
        <v/>
      </c>
      <c r="C675" s="2" t="str">
        <f t="shared" si="32"/>
        <v/>
      </c>
      <c r="D675" s="2" t="str">
        <f>IF(A675="","",MIN('Loan Inputs'!$B$17,C675+E675)+H675)</f>
        <v/>
      </c>
      <c r="E675" s="2" t="str">
        <f>IF(A675="","",C675*'Loan Inputs'!$B$15)</f>
        <v/>
      </c>
      <c r="F675" s="2" t="str">
        <f t="shared" si="30"/>
        <v/>
      </c>
      <c r="G675" s="2" t="str">
        <f t="shared" si="31"/>
        <v/>
      </c>
      <c r="H675" s="2" t="str">
        <f>IF(A675="","",MIN('Loan Inputs'!$B$18,MAX(0,C675+E675-'Loan Inputs'!$B$17)))</f>
        <v/>
      </c>
    </row>
    <row r="676" spans="1:8" ht="22" customHeight="1">
      <c r="A676" s="1" t="str">
        <f>IF(AND('Loan Inputs'!$B$12,670&lt;=IF('Loan Inputs'!$B$12,'Loan Inputs'!$B$7,0)*'Loan Inputs'!$B$14+5*'Loan Inputs'!$B$14,ISNUMBER(G675),G675&gt;0),670,"")</f>
        <v/>
      </c>
      <c r="B676" s="4" t="str">
        <f>IF(A676="","",IF('Loan Inputs'!$B$14=12,DATE(YEAR('Loan Inputs'!$B$8),MONTH('Loan Inputs'!$B$8)+A676,DAY('Loan Inputs'!$B$8)),'Loan Inputs'!$B$8+A676*IF('Loan Inputs'!$B$14=26,14,7)))</f>
        <v/>
      </c>
      <c r="C676" s="2" t="str">
        <f t="shared" si="32"/>
        <v/>
      </c>
      <c r="D676" s="2" t="str">
        <f>IF(A676="","",MIN('Loan Inputs'!$B$17,C676+E676)+H676)</f>
        <v/>
      </c>
      <c r="E676" s="2" t="str">
        <f>IF(A676="","",C676*'Loan Inputs'!$B$15)</f>
        <v/>
      </c>
      <c r="F676" s="2" t="str">
        <f t="shared" si="30"/>
        <v/>
      </c>
      <c r="G676" s="2" t="str">
        <f t="shared" si="31"/>
        <v/>
      </c>
      <c r="H676" s="2" t="str">
        <f>IF(A676="","",MIN('Loan Inputs'!$B$18,MAX(0,C676+E676-'Loan Inputs'!$B$17)))</f>
        <v/>
      </c>
    </row>
    <row r="677" spans="1:8" ht="22" customHeight="1">
      <c r="A677" s="1" t="str">
        <f>IF(AND('Loan Inputs'!$B$12,671&lt;=IF('Loan Inputs'!$B$12,'Loan Inputs'!$B$7,0)*'Loan Inputs'!$B$14+5*'Loan Inputs'!$B$14,ISNUMBER(G676),G676&gt;0),671,"")</f>
        <v/>
      </c>
      <c r="B677" s="4" t="str">
        <f>IF(A677="","",IF('Loan Inputs'!$B$14=12,DATE(YEAR('Loan Inputs'!$B$8),MONTH('Loan Inputs'!$B$8)+A677,DAY('Loan Inputs'!$B$8)),'Loan Inputs'!$B$8+A677*IF('Loan Inputs'!$B$14=26,14,7)))</f>
        <v/>
      </c>
      <c r="C677" s="2" t="str">
        <f t="shared" si="32"/>
        <v/>
      </c>
      <c r="D677" s="2" t="str">
        <f>IF(A677="","",MIN('Loan Inputs'!$B$17,C677+E677)+H677)</f>
        <v/>
      </c>
      <c r="E677" s="2" t="str">
        <f>IF(A677="","",C677*'Loan Inputs'!$B$15)</f>
        <v/>
      </c>
      <c r="F677" s="2" t="str">
        <f t="shared" si="30"/>
        <v/>
      </c>
      <c r="G677" s="2" t="str">
        <f t="shared" si="31"/>
        <v/>
      </c>
      <c r="H677" s="2" t="str">
        <f>IF(A677="","",MIN('Loan Inputs'!$B$18,MAX(0,C677+E677-'Loan Inputs'!$B$17)))</f>
        <v/>
      </c>
    </row>
    <row r="678" spans="1:8" ht="22" customHeight="1">
      <c r="A678" s="1" t="str">
        <f>IF(AND('Loan Inputs'!$B$12,672&lt;=IF('Loan Inputs'!$B$12,'Loan Inputs'!$B$7,0)*'Loan Inputs'!$B$14+5*'Loan Inputs'!$B$14,ISNUMBER(G677),G677&gt;0),672,"")</f>
        <v/>
      </c>
      <c r="B678" s="4" t="str">
        <f>IF(A678="","",IF('Loan Inputs'!$B$14=12,DATE(YEAR('Loan Inputs'!$B$8),MONTH('Loan Inputs'!$B$8)+A678,DAY('Loan Inputs'!$B$8)),'Loan Inputs'!$B$8+A678*IF('Loan Inputs'!$B$14=26,14,7)))</f>
        <v/>
      </c>
      <c r="C678" s="2" t="str">
        <f t="shared" si="32"/>
        <v/>
      </c>
      <c r="D678" s="2" t="str">
        <f>IF(A678="","",MIN('Loan Inputs'!$B$17,C678+E678)+H678)</f>
        <v/>
      </c>
      <c r="E678" s="2" t="str">
        <f>IF(A678="","",C678*'Loan Inputs'!$B$15)</f>
        <v/>
      </c>
      <c r="F678" s="2" t="str">
        <f t="shared" si="30"/>
        <v/>
      </c>
      <c r="G678" s="2" t="str">
        <f t="shared" si="31"/>
        <v/>
      </c>
      <c r="H678" s="2" t="str">
        <f>IF(A678="","",MIN('Loan Inputs'!$B$18,MAX(0,C678+E678-'Loan Inputs'!$B$17)))</f>
        <v/>
      </c>
    </row>
    <row r="679" spans="1:8" ht="22" customHeight="1">
      <c r="A679" s="1" t="str">
        <f>IF(AND('Loan Inputs'!$B$12,673&lt;=IF('Loan Inputs'!$B$12,'Loan Inputs'!$B$7,0)*'Loan Inputs'!$B$14+5*'Loan Inputs'!$B$14,ISNUMBER(G678),G678&gt;0),673,"")</f>
        <v/>
      </c>
      <c r="B679" s="4" t="str">
        <f>IF(A679="","",IF('Loan Inputs'!$B$14=12,DATE(YEAR('Loan Inputs'!$B$8),MONTH('Loan Inputs'!$B$8)+A679,DAY('Loan Inputs'!$B$8)),'Loan Inputs'!$B$8+A679*IF('Loan Inputs'!$B$14=26,14,7)))</f>
        <v/>
      </c>
      <c r="C679" s="2" t="str">
        <f t="shared" si="32"/>
        <v/>
      </c>
      <c r="D679" s="2" t="str">
        <f>IF(A679="","",MIN('Loan Inputs'!$B$17,C679+E679)+H679)</f>
        <v/>
      </c>
      <c r="E679" s="2" t="str">
        <f>IF(A679="","",C679*'Loan Inputs'!$B$15)</f>
        <v/>
      </c>
      <c r="F679" s="2" t="str">
        <f t="shared" si="30"/>
        <v/>
      </c>
      <c r="G679" s="2" t="str">
        <f t="shared" si="31"/>
        <v/>
      </c>
      <c r="H679" s="2" t="str">
        <f>IF(A679="","",MIN('Loan Inputs'!$B$18,MAX(0,C679+E679-'Loan Inputs'!$B$17)))</f>
        <v/>
      </c>
    </row>
    <row r="680" spans="1:8" ht="22" customHeight="1">
      <c r="A680" s="1" t="str">
        <f>IF(AND('Loan Inputs'!$B$12,674&lt;=IF('Loan Inputs'!$B$12,'Loan Inputs'!$B$7,0)*'Loan Inputs'!$B$14+5*'Loan Inputs'!$B$14,ISNUMBER(G679),G679&gt;0),674,"")</f>
        <v/>
      </c>
      <c r="B680" s="4" t="str">
        <f>IF(A680="","",IF('Loan Inputs'!$B$14=12,DATE(YEAR('Loan Inputs'!$B$8),MONTH('Loan Inputs'!$B$8)+A680,DAY('Loan Inputs'!$B$8)),'Loan Inputs'!$B$8+A680*IF('Loan Inputs'!$B$14=26,14,7)))</f>
        <v/>
      </c>
      <c r="C680" s="2" t="str">
        <f t="shared" si="32"/>
        <v/>
      </c>
      <c r="D680" s="2" t="str">
        <f>IF(A680="","",MIN('Loan Inputs'!$B$17,C680+E680)+H680)</f>
        <v/>
      </c>
      <c r="E680" s="2" t="str">
        <f>IF(A680="","",C680*'Loan Inputs'!$B$15)</f>
        <v/>
      </c>
      <c r="F680" s="2" t="str">
        <f t="shared" si="30"/>
        <v/>
      </c>
      <c r="G680" s="2" t="str">
        <f t="shared" si="31"/>
        <v/>
      </c>
      <c r="H680" s="2" t="str">
        <f>IF(A680="","",MIN('Loan Inputs'!$B$18,MAX(0,C680+E680-'Loan Inputs'!$B$17)))</f>
        <v/>
      </c>
    </row>
    <row r="681" spans="1:8" ht="22" customHeight="1">
      <c r="A681" s="1" t="str">
        <f>IF(AND('Loan Inputs'!$B$12,675&lt;=IF('Loan Inputs'!$B$12,'Loan Inputs'!$B$7,0)*'Loan Inputs'!$B$14+5*'Loan Inputs'!$B$14,ISNUMBER(G680),G680&gt;0),675,"")</f>
        <v/>
      </c>
      <c r="B681" s="4" t="str">
        <f>IF(A681="","",IF('Loan Inputs'!$B$14=12,DATE(YEAR('Loan Inputs'!$B$8),MONTH('Loan Inputs'!$B$8)+A681,DAY('Loan Inputs'!$B$8)),'Loan Inputs'!$B$8+A681*IF('Loan Inputs'!$B$14=26,14,7)))</f>
        <v/>
      </c>
      <c r="C681" s="2" t="str">
        <f t="shared" si="32"/>
        <v/>
      </c>
      <c r="D681" s="2" t="str">
        <f>IF(A681="","",MIN('Loan Inputs'!$B$17,C681+E681)+H681)</f>
        <v/>
      </c>
      <c r="E681" s="2" t="str">
        <f>IF(A681="","",C681*'Loan Inputs'!$B$15)</f>
        <v/>
      </c>
      <c r="F681" s="2" t="str">
        <f t="shared" si="30"/>
        <v/>
      </c>
      <c r="G681" s="2" t="str">
        <f t="shared" si="31"/>
        <v/>
      </c>
      <c r="H681" s="2" t="str">
        <f>IF(A681="","",MIN('Loan Inputs'!$B$18,MAX(0,C681+E681-'Loan Inputs'!$B$17)))</f>
        <v/>
      </c>
    </row>
    <row r="682" spans="1:8" ht="22" customHeight="1">
      <c r="A682" s="1" t="str">
        <f>IF(AND('Loan Inputs'!$B$12,676&lt;=IF('Loan Inputs'!$B$12,'Loan Inputs'!$B$7,0)*'Loan Inputs'!$B$14+5*'Loan Inputs'!$B$14,ISNUMBER(G681),G681&gt;0),676,"")</f>
        <v/>
      </c>
      <c r="B682" s="4" t="str">
        <f>IF(A682="","",IF('Loan Inputs'!$B$14=12,DATE(YEAR('Loan Inputs'!$B$8),MONTH('Loan Inputs'!$B$8)+A682,DAY('Loan Inputs'!$B$8)),'Loan Inputs'!$B$8+A682*IF('Loan Inputs'!$B$14=26,14,7)))</f>
        <v/>
      </c>
      <c r="C682" s="2" t="str">
        <f t="shared" si="32"/>
        <v/>
      </c>
      <c r="D682" s="2" t="str">
        <f>IF(A682="","",MIN('Loan Inputs'!$B$17,C682+E682)+H682)</f>
        <v/>
      </c>
      <c r="E682" s="2" t="str">
        <f>IF(A682="","",C682*'Loan Inputs'!$B$15)</f>
        <v/>
      </c>
      <c r="F682" s="2" t="str">
        <f t="shared" si="30"/>
        <v/>
      </c>
      <c r="G682" s="2" t="str">
        <f t="shared" si="31"/>
        <v/>
      </c>
      <c r="H682" s="2" t="str">
        <f>IF(A682="","",MIN('Loan Inputs'!$B$18,MAX(0,C682+E682-'Loan Inputs'!$B$17)))</f>
        <v/>
      </c>
    </row>
    <row r="683" spans="1:8" ht="22" customHeight="1">
      <c r="A683" s="1" t="str">
        <f>IF(AND('Loan Inputs'!$B$12,677&lt;=IF('Loan Inputs'!$B$12,'Loan Inputs'!$B$7,0)*'Loan Inputs'!$B$14+5*'Loan Inputs'!$B$14,ISNUMBER(G682),G682&gt;0),677,"")</f>
        <v/>
      </c>
      <c r="B683" s="4" t="str">
        <f>IF(A683="","",IF('Loan Inputs'!$B$14=12,DATE(YEAR('Loan Inputs'!$B$8),MONTH('Loan Inputs'!$B$8)+A683,DAY('Loan Inputs'!$B$8)),'Loan Inputs'!$B$8+A683*IF('Loan Inputs'!$B$14=26,14,7)))</f>
        <v/>
      </c>
      <c r="C683" s="2" t="str">
        <f t="shared" si="32"/>
        <v/>
      </c>
      <c r="D683" s="2" t="str">
        <f>IF(A683="","",MIN('Loan Inputs'!$B$17,C683+E683)+H683)</f>
        <v/>
      </c>
      <c r="E683" s="2" t="str">
        <f>IF(A683="","",C683*'Loan Inputs'!$B$15)</f>
        <v/>
      </c>
      <c r="F683" s="2" t="str">
        <f t="shared" si="30"/>
        <v/>
      </c>
      <c r="G683" s="2" t="str">
        <f t="shared" si="31"/>
        <v/>
      </c>
      <c r="H683" s="2" t="str">
        <f>IF(A683="","",MIN('Loan Inputs'!$B$18,MAX(0,C683+E683-'Loan Inputs'!$B$17)))</f>
        <v/>
      </c>
    </row>
    <row r="684" spans="1:8" ht="22" customHeight="1">
      <c r="A684" s="1" t="str">
        <f>IF(AND('Loan Inputs'!$B$12,678&lt;=IF('Loan Inputs'!$B$12,'Loan Inputs'!$B$7,0)*'Loan Inputs'!$B$14+5*'Loan Inputs'!$B$14,ISNUMBER(G683),G683&gt;0),678,"")</f>
        <v/>
      </c>
      <c r="B684" s="4" t="str">
        <f>IF(A684="","",IF('Loan Inputs'!$B$14=12,DATE(YEAR('Loan Inputs'!$B$8),MONTH('Loan Inputs'!$B$8)+A684,DAY('Loan Inputs'!$B$8)),'Loan Inputs'!$B$8+A684*IF('Loan Inputs'!$B$14=26,14,7)))</f>
        <v/>
      </c>
      <c r="C684" s="2" t="str">
        <f t="shared" si="32"/>
        <v/>
      </c>
      <c r="D684" s="2" t="str">
        <f>IF(A684="","",MIN('Loan Inputs'!$B$17,C684+E684)+H684)</f>
        <v/>
      </c>
      <c r="E684" s="2" t="str">
        <f>IF(A684="","",C684*'Loan Inputs'!$B$15)</f>
        <v/>
      </c>
      <c r="F684" s="2" t="str">
        <f t="shared" si="30"/>
        <v/>
      </c>
      <c r="G684" s="2" t="str">
        <f t="shared" si="31"/>
        <v/>
      </c>
      <c r="H684" s="2" t="str">
        <f>IF(A684="","",MIN('Loan Inputs'!$B$18,MAX(0,C684+E684-'Loan Inputs'!$B$17)))</f>
        <v/>
      </c>
    </row>
    <row r="685" spans="1:8" ht="22" customHeight="1">
      <c r="A685" s="1" t="str">
        <f>IF(AND('Loan Inputs'!$B$12,679&lt;=IF('Loan Inputs'!$B$12,'Loan Inputs'!$B$7,0)*'Loan Inputs'!$B$14+5*'Loan Inputs'!$B$14,ISNUMBER(G684),G684&gt;0),679,"")</f>
        <v/>
      </c>
      <c r="B685" s="4" t="str">
        <f>IF(A685="","",IF('Loan Inputs'!$B$14=12,DATE(YEAR('Loan Inputs'!$B$8),MONTH('Loan Inputs'!$B$8)+A685,DAY('Loan Inputs'!$B$8)),'Loan Inputs'!$B$8+A685*IF('Loan Inputs'!$B$14=26,14,7)))</f>
        <v/>
      </c>
      <c r="C685" s="2" t="str">
        <f t="shared" si="32"/>
        <v/>
      </c>
      <c r="D685" s="2" t="str">
        <f>IF(A685="","",MIN('Loan Inputs'!$B$17,C685+E685)+H685)</f>
        <v/>
      </c>
      <c r="E685" s="2" t="str">
        <f>IF(A685="","",C685*'Loan Inputs'!$B$15)</f>
        <v/>
      </c>
      <c r="F685" s="2" t="str">
        <f t="shared" si="30"/>
        <v/>
      </c>
      <c r="G685" s="2" t="str">
        <f t="shared" si="31"/>
        <v/>
      </c>
      <c r="H685" s="2" t="str">
        <f>IF(A685="","",MIN('Loan Inputs'!$B$18,MAX(0,C685+E685-'Loan Inputs'!$B$17)))</f>
        <v/>
      </c>
    </row>
    <row r="686" spans="1:8" ht="22" customHeight="1">
      <c r="A686" s="1" t="str">
        <f>IF(AND('Loan Inputs'!$B$12,680&lt;=IF('Loan Inputs'!$B$12,'Loan Inputs'!$B$7,0)*'Loan Inputs'!$B$14+5*'Loan Inputs'!$B$14,ISNUMBER(G685),G685&gt;0),680,"")</f>
        <v/>
      </c>
      <c r="B686" s="4" t="str">
        <f>IF(A686="","",IF('Loan Inputs'!$B$14=12,DATE(YEAR('Loan Inputs'!$B$8),MONTH('Loan Inputs'!$B$8)+A686,DAY('Loan Inputs'!$B$8)),'Loan Inputs'!$B$8+A686*IF('Loan Inputs'!$B$14=26,14,7)))</f>
        <v/>
      </c>
      <c r="C686" s="2" t="str">
        <f t="shared" si="32"/>
        <v/>
      </c>
      <c r="D686" s="2" t="str">
        <f>IF(A686="","",MIN('Loan Inputs'!$B$17,C686+E686)+H686)</f>
        <v/>
      </c>
      <c r="E686" s="2" t="str">
        <f>IF(A686="","",C686*'Loan Inputs'!$B$15)</f>
        <v/>
      </c>
      <c r="F686" s="2" t="str">
        <f t="shared" si="30"/>
        <v/>
      </c>
      <c r="G686" s="2" t="str">
        <f t="shared" si="31"/>
        <v/>
      </c>
      <c r="H686" s="2" t="str">
        <f>IF(A686="","",MIN('Loan Inputs'!$B$18,MAX(0,C686+E686-'Loan Inputs'!$B$17)))</f>
        <v/>
      </c>
    </row>
    <row r="687" spans="1:8" ht="22" customHeight="1">
      <c r="A687" s="1" t="str">
        <f>IF(AND('Loan Inputs'!$B$12,681&lt;=IF('Loan Inputs'!$B$12,'Loan Inputs'!$B$7,0)*'Loan Inputs'!$B$14+5*'Loan Inputs'!$B$14,ISNUMBER(G686),G686&gt;0),681,"")</f>
        <v/>
      </c>
      <c r="B687" s="4" t="str">
        <f>IF(A687="","",IF('Loan Inputs'!$B$14=12,DATE(YEAR('Loan Inputs'!$B$8),MONTH('Loan Inputs'!$B$8)+A687,DAY('Loan Inputs'!$B$8)),'Loan Inputs'!$B$8+A687*IF('Loan Inputs'!$B$14=26,14,7)))</f>
        <v/>
      </c>
      <c r="C687" s="2" t="str">
        <f t="shared" si="32"/>
        <v/>
      </c>
      <c r="D687" s="2" t="str">
        <f>IF(A687="","",MIN('Loan Inputs'!$B$17,C687+E687)+H687)</f>
        <v/>
      </c>
      <c r="E687" s="2" t="str">
        <f>IF(A687="","",C687*'Loan Inputs'!$B$15)</f>
        <v/>
      </c>
      <c r="F687" s="2" t="str">
        <f t="shared" si="30"/>
        <v/>
      </c>
      <c r="G687" s="2" t="str">
        <f t="shared" si="31"/>
        <v/>
      </c>
      <c r="H687" s="2" t="str">
        <f>IF(A687="","",MIN('Loan Inputs'!$B$18,MAX(0,C687+E687-'Loan Inputs'!$B$17)))</f>
        <v/>
      </c>
    </row>
    <row r="688" spans="1:8" ht="22" customHeight="1">
      <c r="A688" s="1" t="str">
        <f>IF(AND('Loan Inputs'!$B$12,682&lt;=IF('Loan Inputs'!$B$12,'Loan Inputs'!$B$7,0)*'Loan Inputs'!$B$14+5*'Loan Inputs'!$B$14,ISNUMBER(G687),G687&gt;0),682,"")</f>
        <v/>
      </c>
      <c r="B688" s="4" t="str">
        <f>IF(A688="","",IF('Loan Inputs'!$B$14=12,DATE(YEAR('Loan Inputs'!$B$8),MONTH('Loan Inputs'!$B$8)+A688,DAY('Loan Inputs'!$B$8)),'Loan Inputs'!$B$8+A688*IF('Loan Inputs'!$B$14=26,14,7)))</f>
        <v/>
      </c>
      <c r="C688" s="2" t="str">
        <f t="shared" si="32"/>
        <v/>
      </c>
      <c r="D688" s="2" t="str">
        <f>IF(A688="","",MIN('Loan Inputs'!$B$17,C688+E688)+H688)</f>
        <v/>
      </c>
      <c r="E688" s="2" t="str">
        <f>IF(A688="","",C688*'Loan Inputs'!$B$15)</f>
        <v/>
      </c>
      <c r="F688" s="2" t="str">
        <f t="shared" si="30"/>
        <v/>
      </c>
      <c r="G688" s="2" t="str">
        <f t="shared" si="31"/>
        <v/>
      </c>
      <c r="H688" s="2" t="str">
        <f>IF(A688="","",MIN('Loan Inputs'!$B$18,MAX(0,C688+E688-'Loan Inputs'!$B$17)))</f>
        <v/>
      </c>
    </row>
    <row r="689" spans="1:8" ht="22" customHeight="1">
      <c r="A689" s="1" t="str">
        <f>IF(AND('Loan Inputs'!$B$12,683&lt;=IF('Loan Inputs'!$B$12,'Loan Inputs'!$B$7,0)*'Loan Inputs'!$B$14+5*'Loan Inputs'!$B$14,ISNUMBER(G688),G688&gt;0),683,"")</f>
        <v/>
      </c>
      <c r="B689" s="4" t="str">
        <f>IF(A689="","",IF('Loan Inputs'!$B$14=12,DATE(YEAR('Loan Inputs'!$B$8),MONTH('Loan Inputs'!$B$8)+A689,DAY('Loan Inputs'!$B$8)),'Loan Inputs'!$B$8+A689*IF('Loan Inputs'!$B$14=26,14,7)))</f>
        <v/>
      </c>
      <c r="C689" s="2" t="str">
        <f t="shared" si="32"/>
        <v/>
      </c>
      <c r="D689" s="2" t="str">
        <f>IF(A689="","",MIN('Loan Inputs'!$B$17,C689+E689)+H689)</f>
        <v/>
      </c>
      <c r="E689" s="2" t="str">
        <f>IF(A689="","",C689*'Loan Inputs'!$B$15)</f>
        <v/>
      </c>
      <c r="F689" s="2" t="str">
        <f t="shared" si="30"/>
        <v/>
      </c>
      <c r="G689" s="2" t="str">
        <f t="shared" si="31"/>
        <v/>
      </c>
      <c r="H689" s="2" t="str">
        <f>IF(A689="","",MIN('Loan Inputs'!$B$18,MAX(0,C689+E689-'Loan Inputs'!$B$17)))</f>
        <v/>
      </c>
    </row>
    <row r="690" spans="1:8" ht="22" customHeight="1">
      <c r="A690" s="1" t="str">
        <f>IF(AND('Loan Inputs'!$B$12,684&lt;=IF('Loan Inputs'!$B$12,'Loan Inputs'!$B$7,0)*'Loan Inputs'!$B$14+5*'Loan Inputs'!$B$14,ISNUMBER(G689),G689&gt;0),684,"")</f>
        <v/>
      </c>
      <c r="B690" s="4" t="str">
        <f>IF(A690="","",IF('Loan Inputs'!$B$14=12,DATE(YEAR('Loan Inputs'!$B$8),MONTH('Loan Inputs'!$B$8)+A690,DAY('Loan Inputs'!$B$8)),'Loan Inputs'!$B$8+A690*IF('Loan Inputs'!$B$14=26,14,7)))</f>
        <v/>
      </c>
      <c r="C690" s="2" t="str">
        <f t="shared" si="32"/>
        <v/>
      </c>
      <c r="D690" s="2" t="str">
        <f>IF(A690="","",MIN('Loan Inputs'!$B$17,C690+E690)+H690)</f>
        <v/>
      </c>
      <c r="E690" s="2" t="str">
        <f>IF(A690="","",C690*'Loan Inputs'!$B$15)</f>
        <v/>
      </c>
      <c r="F690" s="2" t="str">
        <f t="shared" si="30"/>
        <v/>
      </c>
      <c r="G690" s="2" t="str">
        <f t="shared" si="31"/>
        <v/>
      </c>
      <c r="H690" s="2" t="str">
        <f>IF(A690="","",MIN('Loan Inputs'!$B$18,MAX(0,C690+E690-'Loan Inputs'!$B$17)))</f>
        <v/>
      </c>
    </row>
    <row r="691" spans="1:8" ht="22" customHeight="1">
      <c r="A691" s="1" t="str">
        <f>IF(AND('Loan Inputs'!$B$12,685&lt;=IF('Loan Inputs'!$B$12,'Loan Inputs'!$B$7,0)*'Loan Inputs'!$B$14+5*'Loan Inputs'!$B$14,ISNUMBER(G690),G690&gt;0),685,"")</f>
        <v/>
      </c>
      <c r="B691" s="4" t="str">
        <f>IF(A691="","",IF('Loan Inputs'!$B$14=12,DATE(YEAR('Loan Inputs'!$B$8),MONTH('Loan Inputs'!$B$8)+A691,DAY('Loan Inputs'!$B$8)),'Loan Inputs'!$B$8+A691*IF('Loan Inputs'!$B$14=26,14,7)))</f>
        <v/>
      </c>
      <c r="C691" s="2" t="str">
        <f t="shared" si="32"/>
        <v/>
      </c>
      <c r="D691" s="2" t="str">
        <f>IF(A691="","",MIN('Loan Inputs'!$B$17,C691+E691)+H691)</f>
        <v/>
      </c>
      <c r="E691" s="2" t="str">
        <f>IF(A691="","",C691*'Loan Inputs'!$B$15)</f>
        <v/>
      </c>
      <c r="F691" s="2" t="str">
        <f t="shared" si="30"/>
        <v/>
      </c>
      <c r="G691" s="2" t="str">
        <f t="shared" si="31"/>
        <v/>
      </c>
      <c r="H691" s="2" t="str">
        <f>IF(A691="","",MIN('Loan Inputs'!$B$18,MAX(0,C691+E691-'Loan Inputs'!$B$17)))</f>
        <v/>
      </c>
    </row>
    <row r="692" spans="1:8" ht="22" customHeight="1">
      <c r="A692" s="1" t="str">
        <f>IF(AND('Loan Inputs'!$B$12,686&lt;=IF('Loan Inputs'!$B$12,'Loan Inputs'!$B$7,0)*'Loan Inputs'!$B$14+5*'Loan Inputs'!$B$14,ISNUMBER(G691),G691&gt;0),686,"")</f>
        <v/>
      </c>
      <c r="B692" s="4" t="str">
        <f>IF(A692="","",IF('Loan Inputs'!$B$14=12,DATE(YEAR('Loan Inputs'!$B$8),MONTH('Loan Inputs'!$B$8)+A692,DAY('Loan Inputs'!$B$8)),'Loan Inputs'!$B$8+A692*IF('Loan Inputs'!$B$14=26,14,7)))</f>
        <v/>
      </c>
      <c r="C692" s="2" t="str">
        <f t="shared" si="32"/>
        <v/>
      </c>
      <c r="D692" s="2" t="str">
        <f>IF(A692="","",MIN('Loan Inputs'!$B$17,C692+E692)+H692)</f>
        <v/>
      </c>
      <c r="E692" s="2" t="str">
        <f>IF(A692="","",C692*'Loan Inputs'!$B$15)</f>
        <v/>
      </c>
      <c r="F692" s="2" t="str">
        <f t="shared" si="30"/>
        <v/>
      </c>
      <c r="G692" s="2" t="str">
        <f t="shared" si="31"/>
        <v/>
      </c>
      <c r="H692" s="2" t="str">
        <f>IF(A692="","",MIN('Loan Inputs'!$B$18,MAX(0,C692+E692-'Loan Inputs'!$B$17)))</f>
        <v/>
      </c>
    </row>
    <row r="693" spans="1:8" ht="22" customHeight="1">
      <c r="A693" s="1" t="str">
        <f>IF(AND('Loan Inputs'!$B$12,687&lt;=IF('Loan Inputs'!$B$12,'Loan Inputs'!$B$7,0)*'Loan Inputs'!$B$14+5*'Loan Inputs'!$B$14,ISNUMBER(G692),G692&gt;0),687,"")</f>
        <v/>
      </c>
      <c r="B693" s="4" t="str">
        <f>IF(A693="","",IF('Loan Inputs'!$B$14=12,DATE(YEAR('Loan Inputs'!$B$8),MONTH('Loan Inputs'!$B$8)+A693,DAY('Loan Inputs'!$B$8)),'Loan Inputs'!$B$8+A693*IF('Loan Inputs'!$B$14=26,14,7)))</f>
        <v/>
      </c>
      <c r="C693" s="2" t="str">
        <f t="shared" si="32"/>
        <v/>
      </c>
      <c r="D693" s="2" t="str">
        <f>IF(A693="","",MIN('Loan Inputs'!$B$17,C693+E693)+H693)</f>
        <v/>
      </c>
      <c r="E693" s="2" t="str">
        <f>IF(A693="","",C693*'Loan Inputs'!$B$15)</f>
        <v/>
      </c>
      <c r="F693" s="2" t="str">
        <f t="shared" si="30"/>
        <v/>
      </c>
      <c r="G693" s="2" t="str">
        <f t="shared" si="31"/>
        <v/>
      </c>
      <c r="H693" s="2" t="str">
        <f>IF(A693="","",MIN('Loan Inputs'!$B$18,MAX(0,C693+E693-'Loan Inputs'!$B$17)))</f>
        <v/>
      </c>
    </row>
    <row r="694" spans="1:8" ht="22" customHeight="1">
      <c r="A694" s="1" t="str">
        <f>IF(AND('Loan Inputs'!$B$12,688&lt;=IF('Loan Inputs'!$B$12,'Loan Inputs'!$B$7,0)*'Loan Inputs'!$B$14+5*'Loan Inputs'!$B$14,ISNUMBER(G693),G693&gt;0),688,"")</f>
        <v/>
      </c>
      <c r="B694" s="4" t="str">
        <f>IF(A694="","",IF('Loan Inputs'!$B$14=12,DATE(YEAR('Loan Inputs'!$B$8),MONTH('Loan Inputs'!$B$8)+A694,DAY('Loan Inputs'!$B$8)),'Loan Inputs'!$B$8+A694*IF('Loan Inputs'!$B$14=26,14,7)))</f>
        <v/>
      </c>
      <c r="C694" s="2" t="str">
        <f t="shared" si="32"/>
        <v/>
      </c>
      <c r="D694" s="2" t="str">
        <f>IF(A694="","",MIN('Loan Inputs'!$B$17,C694+E694)+H694)</f>
        <v/>
      </c>
      <c r="E694" s="2" t="str">
        <f>IF(A694="","",C694*'Loan Inputs'!$B$15)</f>
        <v/>
      </c>
      <c r="F694" s="2" t="str">
        <f t="shared" si="30"/>
        <v/>
      </c>
      <c r="G694" s="2" t="str">
        <f t="shared" si="31"/>
        <v/>
      </c>
      <c r="H694" s="2" t="str">
        <f>IF(A694="","",MIN('Loan Inputs'!$B$18,MAX(0,C694+E694-'Loan Inputs'!$B$17)))</f>
        <v/>
      </c>
    </row>
    <row r="695" spans="1:8" ht="22" customHeight="1">
      <c r="A695" s="1" t="str">
        <f>IF(AND('Loan Inputs'!$B$12,689&lt;=IF('Loan Inputs'!$B$12,'Loan Inputs'!$B$7,0)*'Loan Inputs'!$B$14+5*'Loan Inputs'!$B$14,ISNUMBER(G694),G694&gt;0),689,"")</f>
        <v/>
      </c>
      <c r="B695" s="4" t="str">
        <f>IF(A695="","",IF('Loan Inputs'!$B$14=12,DATE(YEAR('Loan Inputs'!$B$8),MONTH('Loan Inputs'!$B$8)+A695,DAY('Loan Inputs'!$B$8)),'Loan Inputs'!$B$8+A695*IF('Loan Inputs'!$B$14=26,14,7)))</f>
        <v/>
      </c>
      <c r="C695" s="2" t="str">
        <f t="shared" si="32"/>
        <v/>
      </c>
      <c r="D695" s="2" t="str">
        <f>IF(A695="","",MIN('Loan Inputs'!$B$17,C695+E695)+H695)</f>
        <v/>
      </c>
      <c r="E695" s="2" t="str">
        <f>IF(A695="","",C695*'Loan Inputs'!$B$15)</f>
        <v/>
      </c>
      <c r="F695" s="2" t="str">
        <f t="shared" si="30"/>
        <v/>
      </c>
      <c r="G695" s="2" t="str">
        <f t="shared" si="31"/>
        <v/>
      </c>
      <c r="H695" s="2" t="str">
        <f>IF(A695="","",MIN('Loan Inputs'!$B$18,MAX(0,C695+E695-'Loan Inputs'!$B$17)))</f>
        <v/>
      </c>
    </row>
    <row r="696" spans="1:8" ht="22" customHeight="1">
      <c r="A696" s="1" t="str">
        <f>IF(AND('Loan Inputs'!$B$12,690&lt;=IF('Loan Inputs'!$B$12,'Loan Inputs'!$B$7,0)*'Loan Inputs'!$B$14+5*'Loan Inputs'!$B$14,ISNUMBER(G695),G695&gt;0),690,"")</f>
        <v/>
      </c>
      <c r="B696" s="4" t="str">
        <f>IF(A696="","",IF('Loan Inputs'!$B$14=12,DATE(YEAR('Loan Inputs'!$B$8),MONTH('Loan Inputs'!$B$8)+A696,DAY('Loan Inputs'!$B$8)),'Loan Inputs'!$B$8+A696*IF('Loan Inputs'!$B$14=26,14,7)))</f>
        <v/>
      </c>
      <c r="C696" s="2" t="str">
        <f t="shared" si="32"/>
        <v/>
      </c>
      <c r="D696" s="2" t="str">
        <f>IF(A696="","",MIN('Loan Inputs'!$B$17,C696+E696)+H696)</f>
        <v/>
      </c>
      <c r="E696" s="2" t="str">
        <f>IF(A696="","",C696*'Loan Inputs'!$B$15)</f>
        <v/>
      </c>
      <c r="F696" s="2" t="str">
        <f t="shared" si="30"/>
        <v/>
      </c>
      <c r="G696" s="2" t="str">
        <f t="shared" si="31"/>
        <v/>
      </c>
      <c r="H696" s="2" t="str">
        <f>IF(A696="","",MIN('Loan Inputs'!$B$18,MAX(0,C696+E696-'Loan Inputs'!$B$17)))</f>
        <v/>
      </c>
    </row>
    <row r="697" spans="1:8" ht="22" customHeight="1">
      <c r="A697" s="1" t="str">
        <f>IF(AND('Loan Inputs'!$B$12,691&lt;=IF('Loan Inputs'!$B$12,'Loan Inputs'!$B$7,0)*'Loan Inputs'!$B$14+5*'Loan Inputs'!$B$14,ISNUMBER(G696),G696&gt;0),691,"")</f>
        <v/>
      </c>
      <c r="B697" s="4" t="str">
        <f>IF(A697="","",IF('Loan Inputs'!$B$14=12,DATE(YEAR('Loan Inputs'!$B$8),MONTH('Loan Inputs'!$B$8)+A697,DAY('Loan Inputs'!$B$8)),'Loan Inputs'!$B$8+A697*IF('Loan Inputs'!$B$14=26,14,7)))</f>
        <v/>
      </c>
      <c r="C697" s="2" t="str">
        <f t="shared" si="32"/>
        <v/>
      </c>
      <c r="D697" s="2" t="str">
        <f>IF(A697="","",MIN('Loan Inputs'!$B$17,C697+E697)+H697)</f>
        <v/>
      </c>
      <c r="E697" s="2" t="str">
        <f>IF(A697="","",C697*'Loan Inputs'!$B$15)</f>
        <v/>
      </c>
      <c r="F697" s="2" t="str">
        <f t="shared" si="30"/>
        <v/>
      </c>
      <c r="G697" s="2" t="str">
        <f t="shared" si="31"/>
        <v/>
      </c>
      <c r="H697" s="2" t="str">
        <f>IF(A697="","",MIN('Loan Inputs'!$B$18,MAX(0,C697+E697-'Loan Inputs'!$B$17)))</f>
        <v/>
      </c>
    </row>
    <row r="698" spans="1:8" ht="22" customHeight="1">
      <c r="A698" s="1" t="str">
        <f>IF(AND('Loan Inputs'!$B$12,692&lt;=IF('Loan Inputs'!$B$12,'Loan Inputs'!$B$7,0)*'Loan Inputs'!$B$14+5*'Loan Inputs'!$B$14,ISNUMBER(G697),G697&gt;0),692,"")</f>
        <v/>
      </c>
      <c r="B698" s="4" t="str">
        <f>IF(A698="","",IF('Loan Inputs'!$B$14=12,DATE(YEAR('Loan Inputs'!$B$8),MONTH('Loan Inputs'!$B$8)+A698,DAY('Loan Inputs'!$B$8)),'Loan Inputs'!$B$8+A698*IF('Loan Inputs'!$B$14=26,14,7)))</f>
        <v/>
      </c>
      <c r="C698" s="2" t="str">
        <f t="shared" si="32"/>
        <v/>
      </c>
      <c r="D698" s="2" t="str">
        <f>IF(A698="","",MIN('Loan Inputs'!$B$17,C698+E698)+H698)</f>
        <v/>
      </c>
      <c r="E698" s="2" t="str">
        <f>IF(A698="","",C698*'Loan Inputs'!$B$15)</f>
        <v/>
      </c>
      <c r="F698" s="2" t="str">
        <f t="shared" si="30"/>
        <v/>
      </c>
      <c r="G698" s="2" t="str">
        <f t="shared" si="31"/>
        <v/>
      </c>
      <c r="H698" s="2" t="str">
        <f>IF(A698="","",MIN('Loan Inputs'!$B$18,MAX(0,C698+E698-'Loan Inputs'!$B$17)))</f>
        <v/>
      </c>
    </row>
    <row r="699" spans="1:8" ht="22" customHeight="1">
      <c r="A699" s="1" t="str">
        <f>IF(AND('Loan Inputs'!$B$12,693&lt;=IF('Loan Inputs'!$B$12,'Loan Inputs'!$B$7,0)*'Loan Inputs'!$B$14+5*'Loan Inputs'!$B$14,ISNUMBER(G698),G698&gt;0),693,"")</f>
        <v/>
      </c>
      <c r="B699" s="4" t="str">
        <f>IF(A699="","",IF('Loan Inputs'!$B$14=12,DATE(YEAR('Loan Inputs'!$B$8),MONTH('Loan Inputs'!$B$8)+A699,DAY('Loan Inputs'!$B$8)),'Loan Inputs'!$B$8+A699*IF('Loan Inputs'!$B$14=26,14,7)))</f>
        <v/>
      </c>
      <c r="C699" s="2" t="str">
        <f t="shared" si="32"/>
        <v/>
      </c>
      <c r="D699" s="2" t="str">
        <f>IF(A699="","",MIN('Loan Inputs'!$B$17,C699+E699)+H699)</f>
        <v/>
      </c>
      <c r="E699" s="2" t="str">
        <f>IF(A699="","",C699*'Loan Inputs'!$B$15)</f>
        <v/>
      </c>
      <c r="F699" s="2" t="str">
        <f t="shared" si="30"/>
        <v/>
      </c>
      <c r="G699" s="2" t="str">
        <f t="shared" si="31"/>
        <v/>
      </c>
      <c r="H699" s="2" t="str">
        <f>IF(A699="","",MIN('Loan Inputs'!$B$18,MAX(0,C699+E699-'Loan Inputs'!$B$17)))</f>
        <v/>
      </c>
    </row>
    <row r="700" spans="1:8" ht="22" customHeight="1">
      <c r="A700" s="1" t="str">
        <f>IF(AND('Loan Inputs'!$B$12,694&lt;=IF('Loan Inputs'!$B$12,'Loan Inputs'!$B$7,0)*'Loan Inputs'!$B$14+5*'Loan Inputs'!$B$14,ISNUMBER(G699),G699&gt;0),694,"")</f>
        <v/>
      </c>
      <c r="B700" s="4" t="str">
        <f>IF(A700="","",IF('Loan Inputs'!$B$14=12,DATE(YEAR('Loan Inputs'!$B$8),MONTH('Loan Inputs'!$B$8)+A700,DAY('Loan Inputs'!$B$8)),'Loan Inputs'!$B$8+A700*IF('Loan Inputs'!$B$14=26,14,7)))</f>
        <v/>
      </c>
      <c r="C700" s="2" t="str">
        <f t="shared" si="32"/>
        <v/>
      </c>
      <c r="D700" s="2" t="str">
        <f>IF(A700="","",MIN('Loan Inputs'!$B$17,C700+E700)+H700)</f>
        <v/>
      </c>
      <c r="E700" s="2" t="str">
        <f>IF(A700="","",C700*'Loan Inputs'!$B$15)</f>
        <v/>
      </c>
      <c r="F700" s="2" t="str">
        <f t="shared" si="30"/>
        <v/>
      </c>
      <c r="G700" s="2" t="str">
        <f t="shared" si="31"/>
        <v/>
      </c>
      <c r="H700" s="2" t="str">
        <f>IF(A700="","",MIN('Loan Inputs'!$B$18,MAX(0,C700+E700-'Loan Inputs'!$B$17)))</f>
        <v/>
      </c>
    </row>
    <row r="701" spans="1:8" ht="22" customHeight="1">
      <c r="A701" s="1" t="str">
        <f>IF(AND('Loan Inputs'!$B$12,695&lt;=IF('Loan Inputs'!$B$12,'Loan Inputs'!$B$7,0)*'Loan Inputs'!$B$14+5*'Loan Inputs'!$B$14,ISNUMBER(G700),G700&gt;0),695,"")</f>
        <v/>
      </c>
      <c r="B701" s="4" t="str">
        <f>IF(A701="","",IF('Loan Inputs'!$B$14=12,DATE(YEAR('Loan Inputs'!$B$8),MONTH('Loan Inputs'!$B$8)+A701,DAY('Loan Inputs'!$B$8)),'Loan Inputs'!$B$8+A701*IF('Loan Inputs'!$B$14=26,14,7)))</f>
        <v/>
      </c>
      <c r="C701" s="2" t="str">
        <f t="shared" si="32"/>
        <v/>
      </c>
      <c r="D701" s="2" t="str">
        <f>IF(A701="","",MIN('Loan Inputs'!$B$17,C701+E701)+H701)</f>
        <v/>
      </c>
      <c r="E701" s="2" t="str">
        <f>IF(A701="","",C701*'Loan Inputs'!$B$15)</f>
        <v/>
      </c>
      <c r="F701" s="2" t="str">
        <f t="shared" si="30"/>
        <v/>
      </c>
      <c r="G701" s="2" t="str">
        <f t="shared" si="31"/>
        <v/>
      </c>
      <c r="H701" s="2" t="str">
        <f>IF(A701="","",MIN('Loan Inputs'!$B$18,MAX(0,C701+E701-'Loan Inputs'!$B$17)))</f>
        <v/>
      </c>
    </row>
    <row r="702" spans="1:8" ht="22" customHeight="1">
      <c r="A702" s="1" t="str">
        <f>IF(AND('Loan Inputs'!$B$12,696&lt;=IF('Loan Inputs'!$B$12,'Loan Inputs'!$B$7,0)*'Loan Inputs'!$B$14+5*'Loan Inputs'!$B$14,ISNUMBER(G701),G701&gt;0),696,"")</f>
        <v/>
      </c>
      <c r="B702" s="4" t="str">
        <f>IF(A702="","",IF('Loan Inputs'!$B$14=12,DATE(YEAR('Loan Inputs'!$B$8),MONTH('Loan Inputs'!$B$8)+A702,DAY('Loan Inputs'!$B$8)),'Loan Inputs'!$B$8+A702*IF('Loan Inputs'!$B$14=26,14,7)))</f>
        <v/>
      </c>
      <c r="C702" s="2" t="str">
        <f t="shared" si="32"/>
        <v/>
      </c>
      <c r="D702" s="2" t="str">
        <f>IF(A702="","",MIN('Loan Inputs'!$B$17,C702+E702)+H702)</f>
        <v/>
      </c>
      <c r="E702" s="2" t="str">
        <f>IF(A702="","",C702*'Loan Inputs'!$B$15)</f>
        <v/>
      </c>
      <c r="F702" s="2" t="str">
        <f t="shared" si="30"/>
        <v/>
      </c>
      <c r="G702" s="2" t="str">
        <f t="shared" si="31"/>
        <v/>
      </c>
      <c r="H702" s="2" t="str">
        <f>IF(A702="","",MIN('Loan Inputs'!$B$18,MAX(0,C702+E702-'Loan Inputs'!$B$17)))</f>
        <v/>
      </c>
    </row>
    <row r="703" spans="1:8" ht="22" customHeight="1">
      <c r="A703" s="1" t="str">
        <f>IF(AND('Loan Inputs'!$B$12,697&lt;=IF('Loan Inputs'!$B$12,'Loan Inputs'!$B$7,0)*'Loan Inputs'!$B$14+5*'Loan Inputs'!$B$14,ISNUMBER(G702),G702&gt;0),697,"")</f>
        <v/>
      </c>
      <c r="B703" s="4" t="str">
        <f>IF(A703="","",IF('Loan Inputs'!$B$14=12,DATE(YEAR('Loan Inputs'!$B$8),MONTH('Loan Inputs'!$B$8)+A703,DAY('Loan Inputs'!$B$8)),'Loan Inputs'!$B$8+A703*IF('Loan Inputs'!$B$14=26,14,7)))</f>
        <v/>
      </c>
      <c r="C703" s="2" t="str">
        <f t="shared" si="32"/>
        <v/>
      </c>
      <c r="D703" s="2" t="str">
        <f>IF(A703="","",MIN('Loan Inputs'!$B$17,C703+E703)+H703)</f>
        <v/>
      </c>
      <c r="E703" s="2" t="str">
        <f>IF(A703="","",C703*'Loan Inputs'!$B$15)</f>
        <v/>
      </c>
      <c r="F703" s="2" t="str">
        <f t="shared" si="30"/>
        <v/>
      </c>
      <c r="G703" s="2" t="str">
        <f t="shared" si="31"/>
        <v/>
      </c>
      <c r="H703" s="2" t="str">
        <f>IF(A703="","",MIN('Loan Inputs'!$B$18,MAX(0,C703+E703-'Loan Inputs'!$B$17)))</f>
        <v/>
      </c>
    </row>
    <row r="704" spans="1:8" ht="22" customHeight="1">
      <c r="A704" s="1" t="str">
        <f>IF(AND('Loan Inputs'!$B$12,698&lt;=IF('Loan Inputs'!$B$12,'Loan Inputs'!$B$7,0)*'Loan Inputs'!$B$14+5*'Loan Inputs'!$B$14,ISNUMBER(G703),G703&gt;0),698,"")</f>
        <v/>
      </c>
      <c r="B704" s="4" t="str">
        <f>IF(A704="","",IF('Loan Inputs'!$B$14=12,DATE(YEAR('Loan Inputs'!$B$8),MONTH('Loan Inputs'!$B$8)+A704,DAY('Loan Inputs'!$B$8)),'Loan Inputs'!$B$8+A704*IF('Loan Inputs'!$B$14=26,14,7)))</f>
        <v/>
      </c>
      <c r="C704" s="2" t="str">
        <f t="shared" si="32"/>
        <v/>
      </c>
      <c r="D704" s="2" t="str">
        <f>IF(A704="","",MIN('Loan Inputs'!$B$17,C704+E704)+H704)</f>
        <v/>
      </c>
      <c r="E704" s="2" t="str">
        <f>IF(A704="","",C704*'Loan Inputs'!$B$15)</f>
        <v/>
      </c>
      <c r="F704" s="2" t="str">
        <f t="shared" si="30"/>
        <v/>
      </c>
      <c r="G704" s="2" t="str">
        <f t="shared" si="31"/>
        <v/>
      </c>
      <c r="H704" s="2" t="str">
        <f>IF(A704="","",MIN('Loan Inputs'!$B$18,MAX(0,C704+E704-'Loan Inputs'!$B$17)))</f>
        <v/>
      </c>
    </row>
    <row r="705" spans="1:8" ht="22" customHeight="1">
      <c r="A705" s="1" t="str">
        <f>IF(AND('Loan Inputs'!$B$12,699&lt;=IF('Loan Inputs'!$B$12,'Loan Inputs'!$B$7,0)*'Loan Inputs'!$B$14+5*'Loan Inputs'!$B$14,ISNUMBER(G704),G704&gt;0),699,"")</f>
        <v/>
      </c>
      <c r="B705" s="4" t="str">
        <f>IF(A705="","",IF('Loan Inputs'!$B$14=12,DATE(YEAR('Loan Inputs'!$B$8),MONTH('Loan Inputs'!$B$8)+A705,DAY('Loan Inputs'!$B$8)),'Loan Inputs'!$B$8+A705*IF('Loan Inputs'!$B$14=26,14,7)))</f>
        <v/>
      </c>
      <c r="C705" s="2" t="str">
        <f t="shared" si="32"/>
        <v/>
      </c>
      <c r="D705" s="2" t="str">
        <f>IF(A705="","",MIN('Loan Inputs'!$B$17,C705+E705)+H705)</f>
        <v/>
      </c>
      <c r="E705" s="2" t="str">
        <f>IF(A705="","",C705*'Loan Inputs'!$B$15)</f>
        <v/>
      </c>
      <c r="F705" s="2" t="str">
        <f t="shared" si="30"/>
        <v/>
      </c>
      <c r="G705" s="2" t="str">
        <f t="shared" si="31"/>
        <v/>
      </c>
      <c r="H705" s="2" t="str">
        <f>IF(A705="","",MIN('Loan Inputs'!$B$18,MAX(0,C705+E705-'Loan Inputs'!$B$17)))</f>
        <v/>
      </c>
    </row>
    <row r="706" spans="1:8" ht="22" customHeight="1">
      <c r="A706" s="1" t="str">
        <f>IF(AND('Loan Inputs'!$B$12,700&lt;=IF('Loan Inputs'!$B$12,'Loan Inputs'!$B$7,0)*'Loan Inputs'!$B$14+5*'Loan Inputs'!$B$14,ISNUMBER(G705),G705&gt;0),700,"")</f>
        <v/>
      </c>
      <c r="B706" s="4" t="str">
        <f>IF(A706="","",IF('Loan Inputs'!$B$14=12,DATE(YEAR('Loan Inputs'!$B$8),MONTH('Loan Inputs'!$B$8)+A706,DAY('Loan Inputs'!$B$8)),'Loan Inputs'!$B$8+A706*IF('Loan Inputs'!$B$14=26,14,7)))</f>
        <v/>
      </c>
      <c r="C706" s="2" t="str">
        <f t="shared" si="32"/>
        <v/>
      </c>
      <c r="D706" s="2" t="str">
        <f>IF(A706="","",MIN('Loan Inputs'!$B$17,C706+E706)+H706)</f>
        <v/>
      </c>
      <c r="E706" s="2" t="str">
        <f>IF(A706="","",C706*'Loan Inputs'!$B$15)</f>
        <v/>
      </c>
      <c r="F706" s="2" t="str">
        <f t="shared" si="30"/>
        <v/>
      </c>
      <c r="G706" s="2" t="str">
        <f t="shared" si="31"/>
        <v/>
      </c>
      <c r="H706" s="2" t="str">
        <f>IF(A706="","",MIN('Loan Inputs'!$B$18,MAX(0,C706+E706-'Loan Inputs'!$B$17)))</f>
        <v/>
      </c>
    </row>
    <row r="707" spans="1:8" ht="22" customHeight="1">
      <c r="A707" s="1" t="str">
        <f>IF(AND('Loan Inputs'!$B$12,701&lt;=IF('Loan Inputs'!$B$12,'Loan Inputs'!$B$7,0)*'Loan Inputs'!$B$14+5*'Loan Inputs'!$B$14,ISNUMBER(G706),G706&gt;0),701,"")</f>
        <v/>
      </c>
      <c r="B707" s="4" t="str">
        <f>IF(A707="","",IF('Loan Inputs'!$B$14=12,DATE(YEAR('Loan Inputs'!$B$8),MONTH('Loan Inputs'!$B$8)+A707,DAY('Loan Inputs'!$B$8)),'Loan Inputs'!$B$8+A707*IF('Loan Inputs'!$B$14=26,14,7)))</f>
        <v/>
      </c>
      <c r="C707" s="2" t="str">
        <f t="shared" si="32"/>
        <v/>
      </c>
      <c r="D707" s="2" t="str">
        <f>IF(A707="","",MIN('Loan Inputs'!$B$17,C707+E707)+H707)</f>
        <v/>
      </c>
      <c r="E707" s="2" t="str">
        <f>IF(A707="","",C707*'Loan Inputs'!$B$15)</f>
        <v/>
      </c>
      <c r="F707" s="2" t="str">
        <f t="shared" si="30"/>
        <v/>
      </c>
      <c r="G707" s="2" t="str">
        <f t="shared" si="31"/>
        <v/>
      </c>
      <c r="H707" s="2" t="str">
        <f>IF(A707="","",MIN('Loan Inputs'!$B$18,MAX(0,C707+E707-'Loan Inputs'!$B$17)))</f>
        <v/>
      </c>
    </row>
    <row r="708" spans="1:8" ht="22" customHeight="1">
      <c r="A708" s="1" t="str">
        <f>IF(AND('Loan Inputs'!$B$12,702&lt;=IF('Loan Inputs'!$B$12,'Loan Inputs'!$B$7,0)*'Loan Inputs'!$B$14+5*'Loan Inputs'!$B$14,ISNUMBER(G707),G707&gt;0),702,"")</f>
        <v/>
      </c>
      <c r="B708" s="4" t="str">
        <f>IF(A708="","",IF('Loan Inputs'!$B$14=12,DATE(YEAR('Loan Inputs'!$B$8),MONTH('Loan Inputs'!$B$8)+A708,DAY('Loan Inputs'!$B$8)),'Loan Inputs'!$B$8+A708*IF('Loan Inputs'!$B$14=26,14,7)))</f>
        <v/>
      </c>
      <c r="C708" s="2" t="str">
        <f t="shared" si="32"/>
        <v/>
      </c>
      <c r="D708" s="2" t="str">
        <f>IF(A708="","",MIN('Loan Inputs'!$B$17,C708+E708)+H708)</f>
        <v/>
      </c>
      <c r="E708" s="2" t="str">
        <f>IF(A708="","",C708*'Loan Inputs'!$B$15)</f>
        <v/>
      </c>
      <c r="F708" s="2" t="str">
        <f t="shared" si="30"/>
        <v/>
      </c>
      <c r="G708" s="2" t="str">
        <f t="shared" si="31"/>
        <v/>
      </c>
      <c r="H708" s="2" t="str">
        <f>IF(A708="","",MIN('Loan Inputs'!$B$18,MAX(0,C708+E708-'Loan Inputs'!$B$17)))</f>
        <v/>
      </c>
    </row>
    <row r="709" spans="1:8" ht="22" customHeight="1">
      <c r="A709" s="1" t="str">
        <f>IF(AND('Loan Inputs'!$B$12,703&lt;=IF('Loan Inputs'!$B$12,'Loan Inputs'!$B$7,0)*'Loan Inputs'!$B$14+5*'Loan Inputs'!$B$14,ISNUMBER(G708),G708&gt;0),703,"")</f>
        <v/>
      </c>
      <c r="B709" s="4" t="str">
        <f>IF(A709="","",IF('Loan Inputs'!$B$14=12,DATE(YEAR('Loan Inputs'!$B$8),MONTH('Loan Inputs'!$B$8)+A709,DAY('Loan Inputs'!$B$8)),'Loan Inputs'!$B$8+A709*IF('Loan Inputs'!$B$14=26,14,7)))</f>
        <v/>
      </c>
      <c r="C709" s="2" t="str">
        <f t="shared" si="32"/>
        <v/>
      </c>
      <c r="D709" s="2" t="str">
        <f>IF(A709="","",MIN('Loan Inputs'!$B$17,C709+E709)+H709)</f>
        <v/>
      </c>
      <c r="E709" s="2" t="str">
        <f>IF(A709="","",C709*'Loan Inputs'!$B$15)</f>
        <v/>
      </c>
      <c r="F709" s="2" t="str">
        <f t="shared" si="30"/>
        <v/>
      </c>
      <c r="G709" s="2" t="str">
        <f t="shared" si="31"/>
        <v/>
      </c>
      <c r="H709" s="2" t="str">
        <f>IF(A709="","",MIN('Loan Inputs'!$B$18,MAX(0,C709+E709-'Loan Inputs'!$B$17)))</f>
        <v/>
      </c>
    </row>
    <row r="710" spans="1:8" ht="22" customHeight="1">
      <c r="A710" s="1" t="str">
        <f>IF(AND('Loan Inputs'!$B$12,704&lt;=IF('Loan Inputs'!$B$12,'Loan Inputs'!$B$7,0)*'Loan Inputs'!$B$14+5*'Loan Inputs'!$B$14,ISNUMBER(G709),G709&gt;0),704,"")</f>
        <v/>
      </c>
      <c r="B710" s="4" t="str">
        <f>IF(A710="","",IF('Loan Inputs'!$B$14=12,DATE(YEAR('Loan Inputs'!$B$8),MONTH('Loan Inputs'!$B$8)+A710,DAY('Loan Inputs'!$B$8)),'Loan Inputs'!$B$8+A710*IF('Loan Inputs'!$B$14=26,14,7)))</f>
        <v/>
      </c>
      <c r="C710" s="2" t="str">
        <f t="shared" si="32"/>
        <v/>
      </c>
      <c r="D710" s="2" t="str">
        <f>IF(A710="","",MIN('Loan Inputs'!$B$17,C710+E710)+H710)</f>
        <v/>
      </c>
      <c r="E710" s="2" t="str">
        <f>IF(A710="","",C710*'Loan Inputs'!$B$15)</f>
        <v/>
      </c>
      <c r="F710" s="2" t="str">
        <f t="shared" si="30"/>
        <v/>
      </c>
      <c r="G710" s="2" t="str">
        <f t="shared" si="31"/>
        <v/>
      </c>
      <c r="H710" s="2" t="str">
        <f>IF(A710="","",MIN('Loan Inputs'!$B$18,MAX(0,C710+E710-'Loan Inputs'!$B$17)))</f>
        <v/>
      </c>
    </row>
    <row r="711" spans="1:8" ht="22" customHeight="1">
      <c r="A711" s="1" t="str">
        <f>IF(AND('Loan Inputs'!$B$12,705&lt;=IF('Loan Inputs'!$B$12,'Loan Inputs'!$B$7,0)*'Loan Inputs'!$B$14+5*'Loan Inputs'!$B$14,ISNUMBER(G710),G710&gt;0),705,"")</f>
        <v/>
      </c>
      <c r="B711" s="4" t="str">
        <f>IF(A711="","",IF('Loan Inputs'!$B$14=12,DATE(YEAR('Loan Inputs'!$B$8),MONTH('Loan Inputs'!$B$8)+A711,DAY('Loan Inputs'!$B$8)),'Loan Inputs'!$B$8+A711*IF('Loan Inputs'!$B$14=26,14,7)))</f>
        <v/>
      </c>
      <c r="C711" s="2" t="str">
        <f t="shared" si="32"/>
        <v/>
      </c>
      <c r="D711" s="2" t="str">
        <f>IF(A711="","",MIN('Loan Inputs'!$B$17,C711+E711)+H711)</f>
        <v/>
      </c>
      <c r="E711" s="2" t="str">
        <f>IF(A711="","",C711*'Loan Inputs'!$B$15)</f>
        <v/>
      </c>
      <c r="F711" s="2" t="str">
        <f t="shared" ref="F711:F774" si="33">IF(A711="","",MIN(C711,D711-E711))</f>
        <v/>
      </c>
      <c r="G711" s="2" t="str">
        <f t="shared" ref="G711:G774" si="34">IF(A711="","",IF(C711-F711&lt;0.0000001,0,MAX(0,C711-F711)))</f>
        <v/>
      </c>
      <c r="H711" s="2" t="str">
        <f>IF(A711="","",MIN('Loan Inputs'!$B$18,MAX(0,C711+E711-'Loan Inputs'!$B$17)))</f>
        <v/>
      </c>
    </row>
    <row r="712" spans="1:8" ht="22" customHeight="1">
      <c r="A712" s="1" t="str">
        <f>IF(AND('Loan Inputs'!$B$12,706&lt;=IF('Loan Inputs'!$B$12,'Loan Inputs'!$B$7,0)*'Loan Inputs'!$B$14+5*'Loan Inputs'!$B$14,ISNUMBER(G711),G711&gt;0),706,"")</f>
        <v/>
      </c>
      <c r="B712" s="4" t="str">
        <f>IF(A712="","",IF('Loan Inputs'!$B$14=12,DATE(YEAR('Loan Inputs'!$B$8),MONTH('Loan Inputs'!$B$8)+A712,DAY('Loan Inputs'!$B$8)),'Loan Inputs'!$B$8+A712*IF('Loan Inputs'!$B$14=26,14,7)))</f>
        <v/>
      </c>
      <c r="C712" s="2" t="str">
        <f t="shared" ref="C712:C775" si="35">IF(A712="","",G711)</f>
        <v/>
      </c>
      <c r="D712" s="2" t="str">
        <f>IF(A712="","",MIN('Loan Inputs'!$B$17,C712+E712)+H712)</f>
        <v/>
      </c>
      <c r="E712" s="2" t="str">
        <f>IF(A712="","",C712*'Loan Inputs'!$B$15)</f>
        <v/>
      </c>
      <c r="F712" s="2" t="str">
        <f t="shared" si="33"/>
        <v/>
      </c>
      <c r="G712" s="2" t="str">
        <f t="shared" si="34"/>
        <v/>
      </c>
      <c r="H712" s="2" t="str">
        <f>IF(A712="","",MIN('Loan Inputs'!$B$18,MAX(0,C712+E712-'Loan Inputs'!$B$17)))</f>
        <v/>
      </c>
    </row>
    <row r="713" spans="1:8" ht="22" customHeight="1">
      <c r="A713" s="1" t="str">
        <f>IF(AND('Loan Inputs'!$B$12,707&lt;=IF('Loan Inputs'!$B$12,'Loan Inputs'!$B$7,0)*'Loan Inputs'!$B$14+5*'Loan Inputs'!$B$14,ISNUMBER(G712),G712&gt;0),707,"")</f>
        <v/>
      </c>
      <c r="B713" s="4" t="str">
        <f>IF(A713="","",IF('Loan Inputs'!$B$14=12,DATE(YEAR('Loan Inputs'!$B$8),MONTH('Loan Inputs'!$B$8)+A713,DAY('Loan Inputs'!$B$8)),'Loan Inputs'!$B$8+A713*IF('Loan Inputs'!$B$14=26,14,7)))</f>
        <v/>
      </c>
      <c r="C713" s="2" t="str">
        <f t="shared" si="35"/>
        <v/>
      </c>
      <c r="D713" s="2" t="str">
        <f>IF(A713="","",MIN('Loan Inputs'!$B$17,C713+E713)+H713)</f>
        <v/>
      </c>
      <c r="E713" s="2" t="str">
        <f>IF(A713="","",C713*'Loan Inputs'!$B$15)</f>
        <v/>
      </c>
      <c r="F713" s="2" t="str">
        <f t="shared" si="33"/>
        <v/>
      </c>
      <c r="G713" s="2" t="str">
        <f t="shared" si="34"/>
        <v/>
      </c>
      <c r="H713" s="2" t="str">
        <f>IF(A713="","",MIN('Loan Inputs'!$B$18,MAX(0,C713+E713-'Loan Inputs'!$B$17)))</f>
        <v/>
      </c>
    </row>
    <row r="714" spans="1:8" ht="22" customHeight="1">
      <c r="A714" s="1" t="str">
        <f>IF(AND('Loan Inputs'!$B$12,708&lt;=IF('Loan Inputs'!$B$12,'Loan Inputs'!$B$7,0)*'Loan Inputs'!$B$14+5*'Loan Inputs'!$B$14,ISNUMBER(G713),G713&gt;0),708,"")</f>
        <v/>
      </c>
      <c r="B714" s="4" t="str">
        <f>IF(A714="","",IF('Loan Inputs'!$B$14=12,DATE(YEAR('Loan Inputs'!$B$8),MONTH('Loan Inputs'!$B$8)+A714,DAY('Loan Inputs'!$B$8)),'Loan Inputs'!$B$8+A714*IF('Loan Inputs'!$B$14=26,14,7)))</f>
        <v/>
      </c>
      <c r="C714" s="2" t="str">
        <f t="shared" si="35"/>
        <v/>
      </c>
      <c r="D714" s="2" t="str">
        <f>IF(A714="","",MIN('Loan Inputs'!$B$17,C714+E714)+H714)</f>
        <v/>
      </c>
      <c r="E714" s="2" t="str">
        <f>IF(A714="","",C714*'Loan Inputs'!$B$15)</f>
        <v/>
      </c>
      <c r="F714" s="2" t="str">
        <f t="shared" si="33"/>
        <v/>
      </c>
      <c r="G714" s="2" t="str">
        <f t="shared" si="34"/>
        <v/>
      </c>
      <c r="H714" s="2" t="str">
        <f>IF(A714="","",MIN('Loan Inputs'!$B$18,MAX(0,C714+E714-'Loan Inputs'!$B$17)))</f>
        <v/>
      </c>
    </row>
    <row r="715" spans="1:8" ht="22" customHeight="1">
      <c r="A715" s="1" t="str">
        <f>IF(AND('Loan Inputs'!$B$12,709&lt;=IF('Loan Inputs'!$B$12,'Loan Inputs'!$B$7,0)*'Loan Inputs'!$B$14+5*'Loan Inputs'!$B$14,ISNUMBER(G714),G714&gt;0),709,"")</f>
        <v/>
      </c>
      <c r="B715" s="4" t="str">
        <f>IF(A715="","",IF('Loan Inputs'!$B$14=12,DATE(YEAR('Loan Inputs'!$B$8),MONTH('Loan Inputs'!$B$8)+A715,DAY('Loan Inputs'!$B$8)),'Loan Inputs'!$B$8+A715*IF('Loan Inputs'!$B$14=26,14,7)))</f>
        <v/>
      </c>
      <c r="C715" s="2" t="str">
        <f t="shared" si="35"/>
        <v/>
      </c>
      <c r="D715" s="2" t="str">
        <f>IF(A715="","",MIN('Loan Inputs'!$B$17,C715+E715)+H715)</f>
        <v/>
      </c>
      <c r="E715" s="2" t="str">
        <f>IF(A715="","",C715*'Loan Inputs'!$B$15)</f>
        <v/>
      </c>
      <c r="F715" s="2" t="str">
        <f t="shared" si="33"/>
        <v/>
      </c>
      <c r="G715" s="2" t="str">
        <f t="shared" si="34"/>
        <v/>
      </c>
      <c r="H715" s="2" t="str">
        <f>IF(A715="","",MIN('Loan Inputs'!$B$18,MAX(0,C715+E715-'Loan Inputs'!$B$17)))</f>
        <v/>
      </c>
    </row>
    <row r="716" spans="1:8" ht="22" customHeight="1">
      <c r="A716" s="1" t="str">
        <f>IF(AND('Loan Inputs'!$B$12,710&lt;=IF('Loan Inputs'!$B$12,'Loan Inputs'!$B$7,0)*'Loan Inputs'!$B$14+5*'Loan Inputs'!$B$14,ISNUMBER(G715),G715&gt;0),710,"")</f>
        <v/>
      </c>
      <c r="B716" s="4" t="str">
        <f>IF(A716="","",IF('Loan Inputs'!$B$14=12,DATE(YEAR('Loan Inputs'!$B$8),MONTH('Loan Inputs'!$B$8)+A716,DAY('Loan Inputs'!$B$8)),'Loan Inputs'!$B$8+A716*IF('Loan Inputs'!$B$14=26,14,7)))</f>
        <v/>
      </c>
      <c r="C716" s="2" t="str">
        <f t="shared" si="35"/>
        <v/>
      </c>
      <c r="D716" s="2" t="str">
        <f>IF(A716="","",MIN('Loan Inputs'!$B$17,C716+E716)+H716)</f>
        <v/>
      </c>
      <c r="E716" s="2" t="str">
        <f>IF(A716="","",C716*'Loan Inputs'!$B$15)</f>
        <v/>
      </c>
      <c r="F716" s="2" t="str">
        <f t="shared" si="33"/>
        <v/>
      </c>
      <c r="G716" s="2" t="str">
        <f t="shared" si="34"/>
        <v/>
      </c>
      <c r="H716" s="2" t="str">
        <f>IF(A716="","",MIN('Loan Inputs'!$B$18,MAX(0,C716+E716-'Loan Inputs'!$B$17)))</f>
        <v/>
      </c>
    </row>
    <row r="717" spans="1:8" ht="22" customHeight="1">
      <c r="A717" s="1" t="str">
        <f>IF(AND('Loan Inputs'!$B$12,711&lt;=IF('Loan Inputs'!$B$12,'Loan Inputs'!$B$7,0)*'Loan Inputs'!$B$14+5*'Loan Inputs'!$B$14,ISNUMBER(G716),G716&gt;0),711,"")</f>
        <v/>
      </c>
      <c r="B717" s="4" t="str">
        <f>IF(A717="","",IF('Loan Inputs'!$B$14=12,DATE(YEAR('Loan Inputs'!$B$8),MONTH('Loan Inputs'!$B$8)+A717,DAY('Loan Inputs'!$B$8)),'Loan Inputs'!$B$8+A717*IF('Loan Inputs'!$B$14=26,14,7)))</f>
        <v/>
      </c>
      <c r="C717" s="2" t="str">
        <f t="shared" si="35"/>
        <v/>
      </c>
      <c r="D717" s="2" t="str">
        <f>IF(A717="","",MIN('Loan Inputs'!$B$17,C717+E717)+H717)</f>
        <v/>
      </c>
      <c r="E717" s="2" t="str">
        <f>IF(A717="","",C717*'Loan Inputs'!$B$15)</f>
        <v/>
      </c>
      <c r="F717" s="2" t="str">
        <f t="shared" si="33"/>
        <v/>
      </c>
      <c r="G717" s="2" t="str">
        <f t="shared" si="34"/>
        <v/>
      </c>
      <c r="H717" s="2" t="str">
        <f>IF(A717="","",MIN('Loan Inputs'!$B$18,MAX(0,C717+E717-'Loan Inputs'!$B$17)))</f>
        <v/>
      </c>
    </row>
    <row r="718" spans="1:8" ht="22" customHeight="1">
      <c r="A718" s="1" t="str">
        <f>IF(AND('Loan Inputs'!$B$12,712&lt;=IF('Loan Inputs'!$B$12,'Loan Inputs'!$B$7,0)*'Loan Inputs'!$B$14+5*'Loan Inputs'!$B$14,ISNUMBER(G717),G717&gt;0),712,"")</f>
        <v/>
      </c>
      <c r="B718" s="4" t="str">
        <f>IF(A718="","",IF('Loan Inputs'!$B$14=12,DATE(YEAR('Loan Inputs'!$B$8),MONTH('Loan Inputs'!$B$8)+A718,DAY('Loan Inputs'!$B$8)),'Loan Inputs'!$B$8+A718*IF('Loan Inputs'!$B$14=26,14,7)))</f>
        <v/>
      </c>
      <c r="C718" s="2" t="str">
        <f t="shared" si="35"/>
        <v/>
      </c>
      <c r="D718" s="2" t="str">
        <f>IF(A718="","",MIN('Loan Inputs'!$B$17,C718+E718)+H718)</f>
        <v/>
      </c>
      <c r="E718" s="2" t="str">
        <f>IF(A718="","",C718*'Loan Inputs'!$B$15)</f>
        <v/>
      </c>
      <c r="F718" s="2" t="str">
        <f t="shared" si="33"/>
        <v/>
      </c>
      <c r="G718" s="2" t="str">
        <f t="shared" si="34"/>
        <v/>
      </c>
      <c r="H718" s="2" t="str">
        <f>IF(A718="","",MIN('Loan Inputs'!$B$18,MAX(0,C718+E718-'Loan Inputs'!$B$17)))</f>
        <v/>
      </c>
    </row>
    <row r="719" spans="1:8" ht="22" customHeight="1">
      <c r="A719" s="1" t="str">
        <f>IF(AND('Loan Inputs'!$B$12,713&lt;=IF('Loan Inputs'!$B$12,'Loan Inputs'!$B$7,0)*'Loan Inputs'!$B$14+5*'Loan Inputs'!$B$14,ISNUMBER(G718),G718&gt;0),713,"")</f>
        <v/>
      </c>
      <c r="B719" s="4" t="str">
        <f>IF(A719="","",IF('Loan Inputs'!$B$14=12,DATE(YEAR('Loan Inputs'!$B$8),MONTH('Loan Inputs'!$B$8)+A719,DAY('Loan Inputs'!$B$8)),'Loan Inputs'!$B$8+A719*IF('Loan Inputs'!$B$14=26,14,7)))</f>
        <v/>
      </c>
      <c r="C719" s="2" t="str">
        <f t="shared" si="35"/>
        <v/>
      </c>
      <c r="D719" s="2" t="str">
        <f>IF(A719="","",MIN('Loan Inputs'!$B$17,C719+E719)+H719)</f>
        <v/>
      </c>
      <c r="E719" s="2" t="str">
        <f>IF(A719="","",C719*'Loan Inputs'!$B$15)</f>
        <v/>
      </c>
      <c r="F719" s="2" t="str">
        <f t="shared" si="33"/>
        <v/>
      </c>
      <c r="G719" s="2" t="str">
        <f t="shared" si="34"/>
        <v/>
      </c>
      <c r="H719" s="2" t="str">
        <f>IF(A719="","",MIN('Loan Inputs'!$B$18,MAX(0,C719+E719-'Loan Inputs'!$B$17)))</f>
        <v/>
      </c>
    </row>
    <row r="720" spans="1:8" ht="22" customHeight="1">
      <c r="A720" s="1" t="str">
        <f>IF(AND('Loan Inputs'!$B$12,714&lt;=IF('Loan Inputs'!$B$12,'Loan Inputs'!$B$7,0)*'Loan Inputs'!$B$14+5*'Loan Inputs'!$B$14,ISNUMBER(G719),G719&gt;0),714,"")</f>
        <v/>
      </c>
      <c r="B720" s="4" t="str">
        <f>IF(A720="","",IF('Loan Inputs'!$B$14=12,DATE(YEAR('Loan Inputs'!$B$8),MONTH('Loan Inputs'!$B$8)+A720,DAY('Loan Inputs'!$B$8)),'Loan Inputs'!$B$8+A720*IF('Loan Inputs'!$B$14=26,14,7)))</f>
        <v/>
      </c>
      <c r="C720" s="2" t="str">
        <f t="shared" si="35"/>
        <v/>
      </c>
      <c r="D720" s="2" t="str">
        <f>IF(A720="","",MIN('Loan Inputs'!$B$17,C720+E720)+H720)</f>
        <v/>
      </c>
      <c r="E720" s="2" t="str">
        <f>IF(A720="","",C720*'Loan Inputs'!$B$15)</f>
        <v/>
      </c>
      <c r="F720" s="2" t="str">
        <f t="shared" si="33"/>
        <v/>
      </c>
      <c r="G720" s="2" t="str">
        <f t="shared" si="34"/>
        <v/>
      </c>
      <c r="H720" s="2" t="str">
        <f>IF(A720="","",MIN('Loan Inputs'!$B$18,MAX(0,C720+E720-'Loan Inputs'!$B$17)))</f>
        <v/>
      </c>
    </row>
    <row r="721" spans="1:8" ht="22" customHeight="1">
      <c r="A721" s="1" t="str">
        <f>IF(AND('Loan Inputs'!$B$12,715&lt;=IF('Loan Inputs'!$B$12,'Loan Inputs'!$B$7,0)*'Loan Inputs'!$B$14+5*'Loan Inputs'!$B$14,ISNUMBER(G720),G720&gt;0),715,"")</f>
        <v/>
      </c>
      <c r="B721" s="4" t="str">
        <f>IF(A721="","",IF('Loan Inputs'!$B$14=12,DATE(YEAR('Loan Inputs'!$B$8),MONTH('Loan Inputs'!$B$8)+A721,DAY('Loan Inputs'!$B$8)),'Loan Inputs'!$B$8+A721*IF('Loan Inputs'!$B$14=26,14,7)))</f>
        <v/>
      </c>
      <c r="C721" s="2" t="str">
        <f t="shared" si="35"/>
        <v/>
      </c>
      <c r="D721" s="2" t="str">
        <f>IF(A721="","",MIN('Loan Inputs'!$B$17,C721+E721)+H721)</f>
        <v/>
      </c>
      <c r="E721" s="2" t="str">
        <f>IF(A721="","",C721*'Loan Inputs'!$B$15)</f>
        <v/>
      </c>
      <c r="F721" s="2" t="str">
        <f t="shared" si="33"/>
        <v/>
      </c>
      <c r="G721" s="2" t="str">
        <f t="shared" si="34"/>
        <v/>
      </c>
      <c r="H721" s="2" t="str">
        <f>IF(A721="","",MIN('Loan Inputs'!$B$18,MAX(0,C721+E721-'Loan Inputs'!$B$17)))</f>
        <v/>
      </c>
    </row>
    <row r="722" spans="1:8" ht="22" customHeight="1">
      <c r="A722" s="1" t="str">
        <f>IF(AND('Loan Inputs'!$B$12,716&lt;=IF('Loan Inputs'!$B$12,'Loan Inputs'!$B$7,0)*'Loan Inputs'!$B$14+5*'Loan Inputs'!$B$14,ISNUMBER(G721),G721&gt;0),716,"")</f>
        <v/>
      </c>
      <c r="B722" s="4" t="str">
        <f>IF(A722="","",IF('Loan Inputs'!$B$14=12,DATE(YEAR('Loan Inputs'!$B$8),MONTH('Loan Inputs'!$B$8)+A722,DAY('Loan Inputs'!$B$8)),'Loan Inputs'!$B$8+A722*IF('Loan Inputs'!$B$14=26,14,7)))</f>
        <v/>
      </c>
      <c r="C722" s="2" t="str">
        <f t="shared" si="35"/>
        <v/>
      </c>
      <c r="D722" s="2" t="str">
        <f>IF(A722="","",MIN('Loan Inputs'!$B$17,C722+E722)+H722)</f>
        <v/>
      </c>
      <c r="E722" s="2" t="str">
        <f>IF(A722="","",C722*'Loan Inputs'!$B$15)</f>
        <v/>
      </c>
      <c r="F722" s="2" t="str">
        <f t="shared" si="33"/>
        <v/>
      </c>
      <c r="G722" s="2" t="str">
        <f t="shared" si="34"/>
        <v/>
      </c>
      <c r="H722" s="2" t="str">
        <f>IF(A722="","",MIN('Loan Inputs'!$B$18,MAX(0,C722+E722-'Loan Inputs'!$B$17)))</f>
        <v/>
      </c>
    </row>
    <row r="723" spans="1:8" ht="22" customHeight="1">
      <c r="A723" s="1" t="str">
        <f>IF(AND('Loan Inputs'!$B$12,717&lt;=IF('Loan Inputs'!$B$12,'Loan Inputs'!$B$7,0)*'Loan Inputs'!$B$14+5*'Loan Inputs'!$B$14,ISNUMBER(G722),G722&gt;0),717,"")</f>
        <v/>
      </c>
      <c r="B723" s="4" t="str">
        <f>IF(A723="","",IF('Loan Inputs'!$B$14=12,DATE(YEAR('Loan Inputs'!$B$8),MONTH('Loan Inputs'!$B$8)+A723,DAY('Loan Inputs'!$B$8)),'Loan Inputs'!$B$8+A723*IF('Loan Inputs'!$B$14=26,14,7)))</f>
        <v/>
      </c>
      <c r="C723" s="2" t="str">
        <f t="shared" si="35"/>
        <v/>
      </c>
      <c r="D723" s="2" t="str">
        <f>IF(A723="","",MIN('Loan Inputs'!$B$17,C723+E723)+H723)</f>
        <v/>
      </c>
      <c r="E723" s="2" t="str">
        <f>IF(A723="","",C723*'Loan Inputs'!$B$15)</f>
        <v/>
      </c>
      <c r="F723" s="2" t="str">
        <f t="shared" si="33"/>
        <v/>
      </c>
      <c r="G723" s="2" t="str">
        <f t="shared" si="34"/>
        <v/>
      </c>
      <c r="H723" s="2" t="str">
        <f>IF(A723="","",MIN('Loan Inputs'!$B$18,MAX(0,C723+E723-'Loan Inputs'!$B$17)))</f>
        <v/>
      </c>
    </row>
    <row r="724" spans="1:8" ht="22" customHeight="1">
      <c r="A724" s="1" t="str">
        <f>IF(AND('Loan Inputs'!$B$12,718&lt;=IF('Loan Inputs'!$B$12,'Loan Inputs'!$B$7,0)*'Loan Inputs'!$B$14+5*'Loan Inputs'!$B$14,ISNUMBER(G723),G723&gt;0),718,"")</f>
        <v/>
      </c>
      <c r="B724" s="4" t="str">
        <f>IF(A724="","",IF('Loan Inputs'!$B$14=12,DATE(YEAR('Loan Inputs'!$B$8),MONTH('Loan Inputs'!$B$8)+A724,DAY('Loan Inputs'!$B$8)),'Loan Inputs'!$B$8+A724*IF('Loan Inputs'!$B$14=26,14,7)))</f>
        <v/>
      </c>
      <c r="C724" s="2" t="str">
        <f t="shared" si="35"/>
        <v/>
      </c>
      <c r="D724" s="2" t="str">
        <f>IF(A724="","",MIN('Loan Inputs'!$B$17,C724+E724)+H724)</f>
        <v/>
      </c>
      <c r="E724" s="2" t="str">
        <f>IF(A724="","",C724*'Loan Inputs'!$B$15)</f>
        <v/>
      </c>
      <c r="F724" s="2" t="str">
        <f t="shared" si="33"/>
        <v/>
      </c>
      <c r="G724" s="2" t="str">
        <f t="shared" si="34"/>
        <v/>
      </c>
      <c r="H724" s="2" t="str">
        <f>IF(A724="","",MIN('Loan Inputs'!$B$18,MAX(0,C724+E724-'Loan Inputs'!$B$17)))</f>
        <v/>
      </c>
    </row>
    <row r="725" spans="1:8" ht="22" customHeight="1">
      <c r="A725" s="1" t="str">
        <f>IF(AND('Loan Inputs'!$B$12,719&lt;=IF('Loan Inputs'!$B$12,'Loan Inputs'!$B$7,0)*'Loan Inputs'!$B$14+5*'Loan Inputs'!$B$14,ISNUMBER(G724),G724&gt;0),719,"")</f>
        <v/>
      </c>
      <c r="B725" s="4" t="str">
        <f>IF(A725="","",IF('Loan Inputs'!$B$14=12,DATE(YEAR('Loan Inputs'!$B$8),MONTH('Loan Inputs'!$B$8)+A725,DAY('Loan Inputs'!$B$8)),'Loan Inputs'!$B$8+A725*IF('Loan Inputs'!$B$14=26,14,7)))</f>
        <v/>
      </c>
      <c r="C725" s="2" t="str">
        <f t="shared" si="35"/>
        <v/>
      </c>
      <c r="D725" s="2" t="str">
        <f>IF(A725="","",MIN('Loan Inputs'!$B$17,C725+E725)+H725)</f>
        <v/>
      </c>
      <c r="E725" s="2" t="str">
        <f>IF(A725="","",C725*'Loan Inputs'!$B$15)</f>
        <v/>
      </c>
      <c r="F725" s="2" t="str">
        <f t="shared" si="33"/>
        <v/>
      </c>
      <c r="G725" s="2" t="str">
        <f t="shared" si="34"/>
        <v/>
      </c>
      <c r="H725" s="2" t="str">
        <f>IF(A725="","",MIN('Loan Inputs'!$B$18,MAX(0,C725+E725-'Loan Inputs'!$B$17)))</f>
        <v/>
      </c>
    </row>
    <row r="726" spans="1:8" ht="22" customHeight="1">
      <c r="A726" s="1" t="str">
        <f>IF(AND('Loan Inputs'!$B$12,720&lt;=IF('Loan Inputs'!$B$12,'Loan Inputs'!$B$7,0)*'Loan Inputs'!$B$14+5*'Loan Inputs'!$B$14,ISNUMBER(G725),G725&gt;0),720,"")</f>
        <v/>
      </c>
      <c r="B726" s="4" t="str">
        <f>IF(A726="","",IF('Loan Inputs'!$B$14=12,DATE(YEAR('Loan Inputs'!$B$8),MONTH('Loan Inputs'!$B$8)+A726,DAY('Loan Inputs'!$B$8)),'Loan Inputs'!$B$8+A726*IF('Loan Inputs'!$B$14=26,14,7)))</f>
        <v/>
      </c>
      <c r="C726" s="2" t="str">
        <f t="shared" si="35"/>
        <v/>
      </c>
      <c r="D726" s="2" t="str">
        <f>IF(A726="","",MIN('Loan Inputs'!$B$17,C726+E726)+H726)</f>
        <v/>
      </c>
      <c r="E726" s="2" t="str">
        <f>IF(A726="","",C726*'Loan Inputs'!$B$15)</f>
        <v/>
      </c>
      <c r="F726" s="2" t="str">
        <f t="shared" si="33"/>
        <v/>
      </c>
      <c r="G726" s="2" t="str">
        <f t="shared" si="34"/>
        <v/>
      </c>
      <c r="H726" s="2" t="str">
        <f>IF(A726="","",MIN('Loan Inputs'!$B$18,MAX(0,C726+E726-'Loan Inputs'!$B$17)))</f>
        <v/>
      </c>
    </row>
    <row r="727" spans="1:8" ht="22" customHeight="1">
      <c r="A727" s="1" t="str">
        <f>IF(AND('Loan Inputs'!$B$12,721&lt;=IF('Loan Inputs'!$B$12,'Loan Inputs'!$B$7,0)*'Loan Inputs'!$B$14+5*'Loan Inputs'!$B$14,ISNUMBER(G726),G726&gt;0),721,"")</f>
        <v/>
      </c>
      <c r="B727" s="4" t="str">
        <f>IF(A727="","",IF('Loan Inputs'!$B$14=12,DATE(YEAR('Loan Inputs'!$B$8),MONTH('Loan Inputs'!$B$8)+A727,DAY('Loan Inputs'!$B$8)),'Loan Inputs'!$B$8+A727*IF('Loan Inputs'!$B$14=26,14,7)))</f>
        <v/>
      </c>
      <c r="C727" s="2" t="str">
        <f t="shared" si="35"/>
        <v/>
      </c>
      <c r="D727" s="2" t="str">
        <f>IF(A727="","",MIN('Loan Inputs'!$B$17,C727+E727)+H727)</f>
        <v/>
      </c>
      <c r="E727" s="2" t="str">
        <f>IF(A727="","",C727*'Loan Inputs'!$B$15)</f>
        <v/>
      </c>
      <c r="F727" s="2" t="str">
        <f t="shared" si="33"/>
        <v/>
      </c>
      <c r="G727" s="2" t="str">
        <f t="shared" si="34"/>
        <v/>
      </c>
      <c r="H727" s="2" t="str">
        <f>IF(A727="","",MIN('Loan Inputs'!$B$18,MAX(0,C727+E727-'Loan Inputs'!$B$17)))</f>
        <v/>
      </c>
    </row>
    <row r="728" spans="1:8" ht="22" customHeight="1">
      <c r="A728" s="1" t="str">
        <f>IF(AND('Loan Inputs'!$B$12,722&lt;=IF('Loan Inputs'!$B$12,'Loan Inputs'!$B$7,0)*'Loan Inputs'!$B$14+5*'Loan Inputs'!$B$14,ISNUMBER(G727),G727&gt;0),722,"")</f>
        <v/>
      </c>
      <c r="B728" s="4" t="str">
        <f>IF(A728="","",IF('Loan Inputs'!$B$14=12,DATE(YEAR('Loan Inputs'!$B$8),MONTH('Loan Inputs'!$B$8)+A728,DAY('Loan Inputs'!$B$8)),'Loan Inputs'!$B$8+A728*IF('Loan Inputs'!$B$14=26,14,7)))</f>
        <v/>
      </c>
      <c r="C728" s="2" t="str">
        <f t="shared" si="35"/>
        <v/>
      </c>
      <c r="D728" s="2" t="str">
        <f>IF(A728="","",MIN('Loan Inputs'!$B$17,C728+E728)+H728)</f>
        <v/>
      </c>
      <c r="E728" s="2" t="str">
        <f>IF(A728="","",C728*'Loan Inputs'!$B$15)</f>
        <v/>
      </c>
      <c r="F728" s="2" t="str">
        <f t="shared" si="33"/>
        <v/>
      </c>
      <c r="G728" s="2" t="str">
        <f t="shared" si="34"/>
        <v/>
      </c>
      <c r="H728" s="2" t="str">
        <f>IF(A728="","",MIN('Loan Inputs'!$B$18,MAX(0,C728+E728-'Loan Inputs'!$B$17)))</f>
        <v/>
      </c>
    </row>
    <row r="729" spans="1:8" ht="22" customHeight="1">
      <c r="A729" s="1" t="str">
        <f>IF(AND('Loan Inputs'!$B$12,723&lt;=IF('Loan Inputs'!$B$12,'Loan Inputs'!$B$7,0)*'Loan Inputs'!$B$14+5*'Loan Inputs'!$B$14,ISNUMBER(G728),G728&gt;0),723,"")</f>
        <v/>
      </c>
      <c r="B729" s="4" t="str">
        <f>IF(A729="","",IF('Loan Inputs'!$B$14=12,DATE(YEAR('Loan Inputs'!$B$8),MONTH('Loan Inputs'!$B$8)+A729,DAY('Loan Inputs'!$B$8)),'Loan Inputs'!$B$8+A729*IF('Loan Inputs'!$B$14=26,14,7)))</f>
        <v/>
      </c>
      <c r="C729" s="2" t="str">
        <f t="shared" si="35"/>
        <v/>
      </c>
      <c r="D729" s="2" t="str">
        <f>IF(A729="","",MIN('Loan Inputs'!$B$17,C729+E729)+H729)</f>
        <v/>
      </c>
      <c r="E729" s="2" t="str">
        <f>IF(A729="","",C729*'Loan Inputs'!$B$15)</f>
        <v/>
      </c>
      <c r="F729" s="2" t="str">
        <f t="shared" si="33"/>
        <v/>
      </c>
      <c r="G729" s="2" t="str">
        <f t="shared" si="34"/>
        <v/>
      </c>
      <c r="H729" s="2" t="str">
        <f>IF(A729="","",MIN('Loan Inputs'!$B$18,MAX(0,C729+E729-'Loan Inputs'!$B$17)))</f>
        <v/>
      </c>
    </row>
    <row r="730" spans="1:8" ht="22" customHeight="1">
      <c r="A730" s="1" t="str">
        <f>IF(AND('Loan Inputs'!$B$12,724&lt;=IF('Loan Inputs'!$B$12,'Loan Inputs'!$B$7,0)*'Loan Inputs'!$B$14+5*'Loan Inputs'!$B$14,ISNUMBER(G729),G729&gt;0),724,"")</f>
        <v/>
      </c>
      <c r="B730" s="4" t="str">
        <f>IF(A730="","",IF('Loan Inputs'!$B$14=12,DATE(YEAR('Loan Inputs'!$B$8),MONTH('Loan Inputs'!$B$8)+A730,DAY('Loan Inputs'!$B$8)),'Loan Inputs'!$B$8+A730*IF('Loan Inputs'!$B$14=26,14,7)))</f>
        <v/>
      </c>
      <c r="C730" s="2" t="str">
        <f t="shared" si="35"/>
        <v/>
      </c>
      <c r="D730" s="2" t="str">
        <f>IF(A730="","",MIN('Loan Inputs'!$B$17,C730+E730)+H730)</f>
        <v/>
      </c>
      <c r="E730" s="2" t="str">
        <f>IF(A730="","",C730*'Loan Inputs'!$B$15)</f>
        <v/>
      </c>
      <c r="F730" s="2" t="str">
        <f t="shared" si="33"/>
        <v/>
      </c>
      <c r="G730" s="2" t="str">
        <f t="shared" si="34"/>
        <v/>
      </c>
      <c r="H730" s="2" t="str">
        <f>IF(A730="","",MIN('Loan Inputs'!$B$18,MAX(0,C730+E730-'Loan Inputs'!$B$17)))</f>
        <v/>
      </c>
    </row>
    <row r="731" spans="1:8" ht="22" customHeight="1">
      <c r="A731" s="1" t="str">
        <f>IF(AND('Loan Inputs'!$B$12,725&lt;=IF('Loan Inputs'!$B$12,'Loan Inputs'!$B$7,0)*'Loan Inputs'!$B$14+5*'Loan Inputs'!$B$14,ISNUMBER(G730),G730&gt;0),725,"")</f>
        <v/>
      </c>
      <c r="B731" s="4" t="str">
        <f>IF(A731="","",IF('Loan Inputs'!$B$14=12,DATE(YEAR('Loan Inputs'!$B$8),MONTH('Loan Inputs'!$B$8)+A731,DAY('Loan Inputs'!$B$8)),'Loan Inputs'!$B$8+A731*IF('Loan Inputs'!$B$14=26,14,7)))</f>
        <v/>
      </c>
      <c r="C731" s="2" t="str">
        <f t="shared" si="35"/>
        <v/>
      </c>
      <c r="D731" s="2" t="str">
        <f>IF(A731="","",MIN('Loan Inputs'!$B$17,C731+E731)+H731)</f>
        <v/>
      </c>
      <c r="E731" s="2" t="str">
        <f>IF(A731="","",C731*'Loan Inputs'!$B$15)</f>
        <v/>
      </c>
      <c r="F731" s="2" t="str">
        <f t="shared" si="33"/>
        <v/>
      </c>
      <c r="G731" s="2" t="str">
        <f t="shared" si="34"/>
        <v/>
      </c>
      <c r="H731" s="2" t="str">
        <f>IF(A731="","",MIN('Loan Inputs'!$B$18,MAX(0,C731+E731-'Loan Inputs'!$B$17)))</f>
        <v/>
      </c>
    </row>
    <row r="732" spans="1:8" ht="22" customHeight="1">
      <c r="A732" s="1" t="str">
        <f>IF(AND('Loan Inputs'!$B$12,726&lt;=IF('Loan Inputs'!$B$12,'Loan Inputs'!$B$7,0)*'Loan Inputs'!$B$14+5*'Loan Inputs'!$B$14,ISNUMBER(G731),G731&gt;0),726,"")</f>
        <v/>
      </c>
      <c r="B732" s="4" t="str">
        <f>IF(A732="","",IF('Loan Inputs'!$B$14=12,DATE(YEAR('Loan Inputs'!$B$8),MONTH('Loan Inputs'!$B$8)+A732,DAY('Loan Inputs'!$B$8)),'Loan Inputs'!$B$8+A732*IF('Loan Inputs'!$B$14=26,14,7)))</f>
        <v/>
      </c>
      <c r="C732" s="2" t="str">
        <f t="shared" si="35"/>
        <v/>
      </c>
      <c r="D732" s="2" t="str">
        <f>IF(A732="","",MIN('Loan Inputs'!$B$17,C732+E732)+H732)</f>
        <v/>
      </c>
      <c r="E732" s="2" t="str">
        <f>IF(A732="","",C732*'Loan Inputs'!$B$15)</f>
        <v/>
      </c>
      <c r="F732" s="2" t="str">
        <f t="shared" si="33"/>
        <v/>
      </c>
      <c r="G732" s="2" t="str">
        <f t="shared" si="34"/>
        <v/>
      </c>
      <c r="H732" s="2" t="str">
        <f>IF(A732="","",MIN('Loan Inputs'!$B$18,MAX(0,C732+E732-'Loan Inputs'!$B$17)))</f>
        <v/>
      </c>
    </row>
    <row r="733" spans="1:8" ht="22" customHeight="1">
      <c r="A733" s="1" t="str">
        <f>IF(AND('Loan Inputs'!$B$12,727&lt;=IF('Loan Inputs'!$B$12,'Loan Inputs'!$B$7,0)*'Loan Inputs'!$B$14+5*'Loan Inputs'!$B$14,ISNUMBER(G732),G732&gt;0),727,"")</f>
        <v/>
      </c>
      <c r="B733" s="4" t="str">
        <f>IF(A733="","",IF('Loan Inputs'!$B$14=12,DATE(YEAR('Loan Inputs'!$B$8),MONTH('Loan Inputs'!$B$8)+A733,DAY('Loan Inputs'!$B$8)),'Loan Inputs'!$B$8+A733*IF('Loan Inputs'!$B$14=26,14,7)))</f>
        <v/>
      </c>
      <c r="C733" s="2" t="str">
        <f t="shared" si="35"/>
        <v/>
      </c>
      <c r="D733" s="2" t="str">
        <f>IF(A733="","",MIN('Loan Inputs'!$B$17,C733+E733)+H733)</f>
        <v/>
      </c>
      <c r="E733" s="2" t="str">
        <f>IF(A733="","",C733*'Loan Inputs'!$B$15)</f>
        <v/>
      </c>
      <c r="F733" s="2" t="str">
        <f t="shared" si="33"/>
        <v/>
      </c>
      <c r="G733" s="2" t="str">
        <f t="shared" si="34"/>
        <v/>
      </c>
      <c r="H733" s="2" t="str">
        <f>IF(A733="","",MIN('Loan Inputs'!$B$18,MAX(0,C733+E733-'Loan Inputs'!$B$17)))</f>
        <v/>
      </c>
    </row>
    <row r="734" spans="1:8" ht="22" customHeight="1">
      <c r="A734" s="1" t="str">
        <f>IF(AND('Loan Inputs'!$B$12,728&lt;=IF('Loan Inputs'!$B$12,'Loan Inputs'!$B$7,0)*'Loan Inputs'!$B$14+5*'Loan Inputs'!$B$14,ISNUMBER(G733),G733&gt;0),728,"")</f>
        <v/>
      </c>
      <c r="B734" s="4" t="str">
        <f>IF(A734="","",IF('Loan Inputs'!$B$14=12,DATE(YEAR('Loan Inputs'!$B$8),MONTH('Loan Inputs'!$B$8)+A734,DAY('Loan Inputs'!$B$8)),'Loan Inputs'!$B$8+A734*IF('Loan Inputs'!$B$14=26,14,7)))</f>
        <v/>
      </c>
      <c r="C734" s="2" t="str">
        <f t="shared" si="35"/>
        <v/>
      </c>
      <c r="D734" s="2" t="str">
        <f>IF(A734="","",MIN('Loan Inputs'!$B$17,C734+E734)+H734)</f>
        <v/>
      </c>
      <c r="E734" s="2" t="str">
        <f>IF(A734="","",C734*'Loan Inputs'!$B$15)</f>
        <v/>
      </c>
      <c r="F734" s="2" t="str">
        <f t="shared" si="33"/>
        <v/>
      </c>
      <c r="G734" s="2" t="str">
        <f t="shared" si="34"/>
        <v/>
      </c>
      <c r="H734" s="2" t="str">
        <f>IF(A734="","",MIN('Loan Inputs'!$B$18,MAX(0,C734+E734-'Loan Inputs'!$B$17)))</f>
        <v/>
      </c>
    </row>
    <row r="735" spans="1:8" ht="22" customHeight="1">
      <c r="A735" s="1" t="str">
        <f>IF(AND('Loan Inputs'!$B$12,729&lt;=IF('Loan Inputs'!$B$12,'Loan Inputs'!$B$7,0)*'Loan Inputs'!$B$14+5*'Loan Inputs'!$B$14,ISNUMBER(G734),G734&gt;0),729,"")</f>
        <v/>
      </c>
      <c r="B735" s="4" t="str">
        <f>IF(A735="","",IF('Loan Inputs'!$B$14=12,DATE(YEAR('Loan Inputs'!$B$8),MONTH('Loan Inputs'!$B$8)+A735,DAY('Loan Inputs'!$B$8)),'Loan Inputs'!$B$8+A735*IF('Loan Inputs'!$B$14=26,14,7)))</f>
        <v/>
      </c>
      <c r="C735" s="2" t="str">
        <f t="shared" si="35"/>
        <v/>
      </c>
      <c r="D735" s="2" t="str">
        <f>IF(A735="","",MIN('Loan Inputs'!$B$17,C735+E735)+H735)</f>
        <v/>
      </c>
      <c r="E735" s="2" t="str">
        <f>IF(A735="","",C735*'Loan Inputs'!$B$15)</f>
        <v/>
      </c>
      <c r="F735" s="2" t="str">
        <f t="shared" si="33"/>
        <v/>
      </c>
      <c r="G735" s="2" t="str">
        <f t="shared" si="34"/>
        <v/>
      </c>
      <c r="H735" s="2" t="str">
        <f>IF(A735="","",MIN('Loan Inputs'!$B$18,MAX(0,C735+E735-'Loan Inputs'!$B$17)))</f>
        <v/>
      </c>
    </row>
    <row r="736" spans="1:8" ht="22" customHeight="1">
      <c r="A736" s="1" t="str">
        <f>IF(AND('Loan Inputs'!$B$12,730&lt;=IF('Loan Inputs'!$B$12,'Loan Inputs'!$B$7,0)*'Loan Inputs'!$B$14+5*'Loan Inputs'!$B$14,ISNUMBER(G735),G735&gt;0),730,"")</f>
        <v/>
      </c>
      <c r="B736" s="4" t="str">
        <f>IF(A736="","",IF('Loan Inputs'!$B$14=12,DATE(YEAR('Loan Inputs'!$B$8),MONTH('Loan Inputs'!$B$8)+A736,DAY('Loan Inputs'!$B$8)),'Loan Inputs'!$B$8+A736*IF('Loan Inputs'!$B$14=26,14,7)))</f>
        <v/>
      </c>
      <c r="C736" s="2" t="str">
        <f t="shared" si="35"/>
        <v/>
      </c>
      <c r="D736" s="2" t="str">
        <f>IF(A736="","",MIN('Loan Inputs'!$B$17,C736+E736)+H736)</f>
        <v/>
      </c>
      <c r="E736" s="2" t="str">
        <f>IF(A736="","",C736*'Loan Inputs'!$B$15)</f>
        <v/>
      </c>
      <c r="F736" s="2" t="str">
        <f t="shared" si="33"/>
        <v/>
      </c>
      <c r="G736" s="2" t="str">
        <f t="shared" si="34"/>
        <v/>
      </c>
      <c r="H736" s="2" t="str">
        <f>IF(A736="","",MIN('Loan Inputs'!$B$18,MAX(0,C736+E736-'Loan Inputs'!$B$17)))</f>
        <v/>
      </c>
    </row>
    <row r="737" spans="1:8" ht="22" customHeight="1">
      <c r="A737" s="1" t="str">
        <f>IF(AND('Loan Inputs'!$B$12,731&lt;=IF('Loan Inputs'!$B$12,'Loan Inputs'!$B$7,0)*'Loan Inputs'!$B$14+5*'Loan Inputs'!$B$14,ISNUMBER(G736),G736&gt;0),731,"")</f>
        <v/>
      </c>
      <c r="B737" s="4" t="str">
        <f>IF(A737="","",IF('Loan Inputs'!$B$14=12,DATE(YEAR('Loan Inputs'!$B$8),MONTH('Loan Inputs'!$B$8)+A737,DAY('Loan Inputs'!$B$8)),'Loan Inputs'!$B$8+A737*IF('Loan Inputs'!$B$14=26,14,7)))</f>
        <v/>
      </c>
      <c r="C737" s="2" t="str">
        <f t="shared" si="35"/>
        <v/>
      </c>
      <c r="D737" s="2" t="str">
        <f>IF(A737="","",MIN('Loan Inputs'!$B$17,C737+E737)+H737)</f>
        <v/>
      </c>
      <c r="E737" s="2" t="str">
        <f>IF(A737="","",C737*'Loan Inputs'!$B$15)</f>
        <v/>
      </c>
      <c r="F737" s="2" t="str">
        <f t="shared" si="33"/>
        <v/>
      </c>
      <c r="G737" s="2" t="str">
        <f t="shared" si="34"/>
        <v/>
      </c>
      <c r="H737" s="2" t="str">
        <f>IF(A737="","",MIN('Loan Inputs'!$B$18,MAX(0,C737+E737-'Loan Inputs'!$B$17)))</f>
        <v/>
      </c>
    </row>
    <row r="738" spans="1:8" ht="22" customHeight="1">
      <c r="A738" s="1" t="str">
        <f>IF(AND('Loan Inputs'!$B$12,732&lt;=IF('Loan Inputs'!$B$12,'Loan Inputs'!$B$7,0)*'Loan Inputs'!$B$14+5*'Loan Inputs'!$B$14,ISNUMBER(G737),G737&gt;0),732,"")</f>
        <v/>
      </c>
      <c r="B738" s="4" t="str">
        <f>IF(A738="","",IF('Loan Inputs'!$B$14=12,DATE(YEAR('Loan Inputs'!$B$8),MONTH('Loan Inputs'!$B$8)+A738,DAY('Loan Inputs'!$B$8)),'Loan Inputs'!$B$8+A738*IF('Loan Inputs'!$B$14=26,14,7)))</f>
        <v/>
      </c>
      <c r="C738" s="2" t="str">
        <f t="shared" si="35"/>
        <v/>
      </c>
      <c r="D738" s="2" t="str">
        <f>IF(A738="","",MIN('Loan Inputs'!$B$17,C738+E738)+H738)</f>
        <v/>
      </c>
      <c r="E738" s="2" t="str">
        <f>IF(A738="","",C738*'Loan Inputs'!$B$15)</f>
        <v/>
      </c>
      <c r="F738" s="2" t="str">
        <f t="shared" si="33"/>
        <v/>
      </c>
      <c r="G738" s="2" t="str">
        <f t="shared" si="34"/>
        <v/>
      </c>
      <c r="H738" s="2" t="str">
        <f>IF(A738="","",MIN('Loan Inputs'!$B$18,MAX(0,C738+E738-'Loan Inputs'!$B$17)))</f>
        <v/>
      </c>
    </row>
    <row r="739" spans="1:8" ht="22" customHeight="1">
      <c r="A739" s="1" t="str">
        <f>IF(AND('Loan Inputs'!$B$12,733&lt;=IF('Loan Inputs'!$B$12,'Loan Inputs'!$B$7,0)*'Loan Inputs'!$B$14+5*'Loan Inputs'!$B$14,ISNUMBER(G738),G738&gt;0),733,"")</f>
        <v/>
      </c>
      <c r="B739" s="4" t="str">
        <f>IF(A739="","",IF('Loan Inputs'!$B$14=12,DATE(YEAR('Loan Inputs'!$B$8),MONTH('Loan Inputs'!$B$8)+A739,DAY('Loan Inputs'!$B$8)),'Loan Inputs'!$B$8+A739*IF('Loan Inputs'!$B$14=26,14,7)))</f>
        <v/>
      </c>
      <c r="C739" s="2" t="str">
        <f t="shared" si="35"/>
        <v/>
      </c>
      <c r="D739" s="2" t="str">
        <f>IF(A739="","",MIN('Loan Inputs'!$B$17,C739+E739)+H739)</f>
        <v/>
      </c>
      <c r="E739" s="2" t="str">
        <f>IF(A739="","",C739*'Loan Inputs'!$B$15)</f>
        <v/>
      </c>
      <c r="F739" s="2" t="str">
        <f t="shared" si="33"/>
        <v/>
      </c>
      <c r="G739" s="2" t="str">
        <f t="shared" si="34"/>
        <v/>
      </c>
      <c r="H739" s="2" t="str">
        <f>IF(A739="","",MIN('Loan Inputs'!$B$18,MAX(0,C739+E739-'Loan Inputs'!$B$17)))</f>
        <v/>
      </c>
    </row>
    <row r="740" spans="1:8" ht="22" customHeight="1">
      <c r="A740" s="1" t="str">
        <f>IF(AND('Loan Inputs'!$B$12,734&lt;=IF('Loan Inputs'!$B$12,'Loan Inputs'!$B$7,0)*'Loan Inputs'!$B$14+5*'Loan Inputs'!$B$14,ISNUMBER(G739),G739&gt;0),734,"")</f>
        <v/>
      </c>
      <c r="B740" s="4" t="str">
        <f>IF(A740="","",IF('Loan Inputs'!$B$14=12,DATE(YEAR('Loan Inputs'!$B$8),MONTH('Loan Inputs'!$B$8)+A740,DAY('Loan Inputs'!$B$8)),'Loan Inputs'!$B$8+A740*IF('Loan Inputs'!$B$14=26,14,7)))</f>
        <v/>
      </c>
      <c r="C740" s="2" t="str">
        <f t="shared" si="35"/>
        <v/>
      </c>
      <c r="D740" s="2" t="str">
        <f>IF(A740="","",MIN('Loan Inputs'!$B$17,C740+E740)+H740)</f>
        <v/>
      </c>
      <c r="E740" s="2" t="str">
        <f>IF(A740="","",C740*'Loan Inputs'!$B$15)</f>
        <v/>
      </c>
      <c r="F740" s="2" t="str">
        <f t="shared" si="33"/>
        <v/>
      </c>
      <c r="G740" s="2" t="str">
        <f t="shared" si="34"/>
        <v/>
      </c>
      <c r="H740" s="2" t="str">
        <f>IF(A740="","",MIN('Loan Inputs'!$B$18,MAX(0,C740+E740-'Loan Inputs'!$B$17)))</f>
        <v/>
      </c>
    </row>
    <row r="741" spans="1:8" ht="22" customHeight="1">
      <c r="A741" s="1" t="str">
        <f>IF(AND('Loan Inputs'!$B$12,735&lt;=IF('Loan Inputs'!$B$12,'Loan Inputs'!$B$7,0)*'Loan Inputs'!$B$14+5*'Loan Inputs'!$B$14,ISNUMBER(G740),G740&gt;0),735,"")</f>
        <v/>
      </c>
      <c r="B741" s="4" t="str">
        <f>IF(A741="","",IF('Loan Inputs'!$B$14=12,DATE(YEAR('Loan Inputs'!$B$8),MONTH('Loan Inputs'!$B$8)+A741,DAY('Loan Inputs'!$B$8)),'Loan Inputs'!$B$8+A741*IF('Loan Inputs'!$B$14=26,14,7)))</f>
        <v/>
      </c>
      <c r="C741" s="2" t="str">
        <f t="shared" si="35"/>
        <v/>
      </c>
      <c r="D741" s="2" t="str">
        <f>IF(A741="","",MIN('Loan Inputs'!$B$17,C741+E741)+H741)</f>
        <v/>
      </c>
      <c r="E741" s="2" t="str">
        <f>IF(A741="","",C741*'Loan Inputs'!$B$15)</f>
        <v/>
      </c>
      <c r="F741" s="2" t="str">
        <f t="shared" si="33"/>
        <v/>
      </c>
      <c r="G741" s="2" t="str">
        <f t="shared" si="34"/>
        <v/>
      </c>
      <c r="H741" s="2" t="str">
        <f>IF(A741="","",MIN('Loan Inputs'!$B$18,MAX(0,C741+E741-'Loan Inputs'!$B$17)))</f>
        <v/>
      </c>
    </row>
    <row r="742" spans="1:8" ht="22" customHeight="1">
      <c r="A742" s="1" t="str">
        <f>IF(AND('Loan Inputs'!$B$12,736&lt;=IF('Loan Inputs'!$B$12,'Loan Inputs'!$B$7,0)*'Loan Inputs'!$B$14+5*'Loan Inputs'!$B$14,ISNUMBER(G741),G741&gt;0),736,"")</f>
        <v/>
      </c>
      <c r="B742" s="4" t="str">
        <f>IF(A742="","",IF('Loan Inputs'!$B$14=12,DATE(YEAR('Loan Inputs'!$B$8),MONTH('Loan Inputs'!$B$8)+A742,DAY('Loan Inputs'!$B$8)),'Loan Inputs'!$B$8+A742*IF('Loan Inputs'!$B$14=26,14,7)))</f>
        <v/>
      </c>
      <c r="C742" s="2" t="str">
        <f t="shared" si="35"/>
        <v/>
      </c>
      <c r="D742" s="2" t="str">
        <f>IF(A742="","",MIN('Loan Inputs'!$B$17,C742+E742)+H742)</f>
        <v/>
      </c>
      <c r="E742" s="2" t="str">
        <f>IF(A742="","",C742*'Loan Inputs'!$B$15)</f>
        <v/>
      </c>
      <c r="F742" s="2" t="str">
        <f t="shared" si="33"/>
        <v/>
      </c>
      <c r="G742" s="2" t="str">
        <f t="shared" si="34"/>
        <v/>
      </c>
      <c r="H742" s="2" t="str">
        <f>IF(A742="","",MIN('Loan Inputs'!$B$18,MAX(0,C742+E742-'Loan Inputs'!$B$17)))</f>
        <v/>
      </c>
    </row>
    <row r="743" spans="1:8" ht="22" customHeight="1">
      <c r="A743" s="1" t="str">
        <f>IF(AND('Loan Inputs'!$B$12,737&lt;=IF('Loan Inputs'!$B$12,'Loan Inputs'!$B$7,0)*'Loan Inputs'!$B$14+5*'Loan Inputs'!$B$14,ISNUMBER(G742),G742&gt;0),737,"")</f>
        <v/>
      </c>
      <c r="B743" s="4" t="str">
        <f>IF(A743="","",IF('Loan Inputs'!$B$14=12,DATE(YEAR('Loan Inputs'!$B$8),MONTH('Loan Inputs'!$B$8)+A743,DAY('Loan Inputs'!$B$8)),'Loan Inputs'!$B$8+A743*IF('Loan Inputs'!$B$14=26,14,7)))</f>
        <v/>
      </c>
      <c r="C743" s="2" t="str">
        <f t="shared" si="35"/>
        <v/>
      </c>
      <c r="D743" s="2" t="str">
        <f>IF(A743="","",MIN('Loan Inputs'!$B$17,C743+E743)+H743)</f>
        <v/>
      </c>
      <c r="E743" s="2" t="str">
        <f>IF(A743="","",C743*'Loan Inputs'!$B$15)</f>
        <v/>
      </c>
      <c r="F743" s="2" t="str">
        <f t="shared" si="33"/>
        <v/>
      </c>
      <c r="G743" s="2" t="str">
        <f t="shared" si="34"/>
        <v/>
      </c>
      <c r="H743" s="2" t="str">
        <f>IF(A743="","",MIN('Loan Inputs'!$B$18,MAX(0,C743+E743-'Loan Inputs'!$B$17)))</f>
        <v/>
      </c>
    </row>
    <row r="744" spans="1:8" ht="22" customHeight="1">
      <c r="A744" s="1" t="str">
        <f>IF(AND('Loan Inputs'!$B$12,738&lt;=IF('Loan Inputs'!$B$12,'Loan Inputs'!$B$7,0)*'Loan Inputs'!$B$14+5*'Loan Inputs'!$B$14,ISNUMBER(G743),G743&gt;0),738,"")</f>
        <v/>
      </c>
      <c r="B744" s="4" t="str">
        <f>IF(A744="","",IF('Loan Inputs'!$B$14=12,DATE(YEAR('Loan Inputs'!$B$8),MONTH('Loan Inputs'!$B$8)+A744,DAY('Loan Inputs'!$B$8)),'Loan Inputs'!$B$8+A744*IF('Loan Inputs'!$B$14=26,14,7)))</f>
        <v/>
      </c>
      <c r="C744" s="2" t="str">
        <f t="shared" si="35"/>
        <v/>
      </c>
      <c r="D744" s="2" t="str">
        <f>IF(A744="","",MIN('Loan Inputs'!$B$17,C744+E744)+H744)</f>
        <v/>
      </c>
      <c r="E744" s="2" t="str">
        <f>IF(A744="","",C744*'Loan Inputs'!$B$15)</f>
        <v/>
      </c>
      <c r="F744" s="2" t="str">
        <f t="shared" si="33"/>
        <v/>
      </c>
      <c r="G744" s="2" t="str">
        <f t="shared" si="34"/>
        <v/>
      </c>
      <c r="H744" s="2" t="str">
        <f>IF(A744="","",MIN('Loan Inputs'!$B$18,MAX(0,C744+E744-'Loan Inputs'!$B$17)))</f>
        <v/>
      </c>
    </row>
    <row r="745" spans="1:8" ht="22" customHeight="1">
      <c r="A745" s="1" t="str">
        <f>IF(AND('Loan Inputs'!$B$12,739&lt;=IF('Loan Inputs'!$B$12,'Loan Inputs'!$B$7,0)*'Loan Inputs'!$B$14+5*'Loan Inputs'!$B$14,ISNUMBER(G744),G744&gt;0),739,"")</f>
        <v/>
      </c>
      <c r="B745" s="4" t="str">
        <f>IF(A745="","",IF('Loan Inputs'!$B$14=12,DATE(YEAR('Loan Inputs'!$B$8),MONTH('Loan Inputs'!$B$8)+A745,DAY('Loan Inputs'!$B$8)),'Loan Inputs'!$B$8+A745*IF('Loan Inputs'!$B$14=26,14,7)))</f>
        <v/>
      </c>
      <c r="C745" s="2" t="str">
        <f t="shared" si="35"/>
        <v/>
      </c>
      <c r="D745" s="2" t="str">
        <f>IF(A745="","",MIN('Loan Inputs'!$B$17,C745+E745)+H745)</f>
        <v/>
      </c>
      <c r="E745" s="2" t="str">
        <f>IF(A745="","",C745*'Loan Inputs'!$B$15)</f>
        <v/>
      </c>
      <c r="F745" s="2" t="str">
        <f t="shared" si="33"/>
        <v/>
      </c>
      <c r="G745" s="2" t="str">
        <f t="shared" si="34"/>
        <v/>
      </c>
      <c r="H745" s="2" t="str">
        <f>IF(A745="","",MIN('Loan Inputs'!$B$18,MAX(0,C745+E745-'Loan Inputs'!$B$17)))</f>
        <v/>
      </c>
    </row>
    <row r="746" spans="1:8" ht="22" customHeight="1">
      <c r="A746" s="1" t="str">
        <f>IF(AND('Loan Inputs'!$B$12,740&lt;=IF('Loan Inputs'!$B$12,'Loan Inputs'!$B$7,0)*'Loan Inputs'!$B$14+5*'Loan Inputs'!$B$14,ISNUMBER(G745),G745&gt;0),740,"")</f>
        <v/>
      </c>
      <c r="B746" s="4" t="str">
        <f>IF(A746="","",IF('Loan Inputs'!$B$14=12,DATE(YEAR('Loan Inputs'!$B$8),MONTH('Loan Inputs'!$B$8)+A746,DAY('Loan Inputs'!$B$8)),'Loan Inputs'!$B$8+A746*IF('Loan Inputs'!$B$14=26,14,7)))</f>
        <v/>
      </c>
      <c r="C746" s="2" t="str">
        <f t="shared" si="35"/>
        <v/>
      </c>
      <c r="D746" s="2" t="str">
        <f>IF(A746="","",MIN('Loan Inputs'!$B$17,C746+E746)+H746)</f>
        <v/>
      </c>
      <c r="E746" s="2" t="str">
        <f>IF(A746="","",C746*'Loan Inputs'!$B$15)</f>
        <v/>
      </c>
      <c r="F746" s="2" t="str">
        <f t="shared" si="33"/>
        <v/>
      </c>
      <c r="G746" s="2" t="str">
        <f t="shared" si="34"/>
        <v/>
      </c>
      <c r="H746" s="2" t="str">
        <f>IF(A746="","",MIN('Loan Inputs'!$B$18,MAX(0,C746+E746-'Loan Inputs'!$B$17)))</f>
        <v/>
      </c>
    </row>
    <row r="747" spans="1:8" ht="22" customHeight="1">
      <c r="A747" s="1" t="str">
        <f>IF(AND('Loan Inputs'!$B$12,741&lt;=IF('Loan Inputs'!$B$12,'Loan Inputs'!$B$7,0)*'Loan Inputs'!$B$14+5*'Loan Inputs'!$B$14,ISNUMBER(G746),G746&gt;0),741,"")</f>
        <v/>
      </c>
      <c r="B747" s="4" t="str">
        <f>IF(A747="","",IF('Loan Inputs'!$B$14=12,DATE(YEAR('Loan Inputs'!$B$8),MONTH('Loan Inputs'!$B$8)+A747,DAY('Loan Inputs'!$B$8)),'Loan Inputs'!$B$8+A747*IF('Loan Inputs'!$B$14=26,14,7)))</f>
        <v/>
      </c>
      <c r="C747" s="2" t="str">
        <f t="shared" si="35"/>
        <v/>
      </c>
      <c r="D747" s="2" t="str">
        <f>IF(A747="","",MIN('Loan Inputs'!$B$17,C747+E747)+H747)</f>
        <v/>
      </c>
      <c r="E747" s="2" t="str">
        <f>IF(A747="","",C747*'Loan Inputs'!$B$15)</f>
        <v/>
      </c>
      <c r="F747" s="2" t="str">
        <f t="shared" si="33"/>
        <v/>
      </c>
      <c r="G747" s="2" t="str">
        <f t="shared" si="34"/>
        <v/>
      </c>
      <c r="H747" s="2" t="str">
        <f>IF(A747="","",MIN('Loan Inputs'!$B$18,MAX(0,C747+E747-'Loan Inputs'!$B$17)))</f>
        <v/>
      </c>
    </row>
    <row r="748" spans="1:8" ht="22" customHeight="1">
      <c r="A748" s="1" t="str">
        <f>IF(AND('Loan Inputs'!$B$12,742&lt;=IF('Loan Inputs'!$B$12,'Loan Inputs'!$B$7,0)*'Loan Inputs'!$B$14+5*'Loan Inputs'!$B$14,ISNUMBER(G747),G747&gt;0),742,"")</f>
        <v/>
      </c>
      <c r="B748" s="4" t="str">
        <f>IF(A748="","",IF('Loan Inputs'!$B$14=12,DATE(YEAR('Loan Inputs'!$B$8),MONTH('Loan Inputs'!$B$8)+A748,DAY('Loan Inputs'!$B$8)),'Loan Inputs'!$B$8+A748*IF('Loan Inputs'!$B$14=26,14,7)))</f>
        <v/>
      </c>
      <c r="C748" s="2" t="str">
        <f t="shared" si="35"/>
        <v/>
      </c>
      <c r="D748" s="2" t="str">
        <f>IF(A748="","",MIN('Loan Inputs'!$B$17,C748+E748)+H748)</f>
        <v/>
      </c>
      <c r="E748" s="2" t="str">
        <f>IF(A748="","",C748*'Loan Inputs'!$B$15)</f>
        <v/>
      </c>
      <c r="F748" s="2" t="str">
        <f t="shared" si="33"/>
        <v/>
      </c>
      <c r="G748" s="2" t="str">
        <f t="shared" si="34"/>
        <v/>
      </c>
      <c r="H748" s="2" t="str">
        <f>IF(A748="","",MIN('Loan Inputs'!$B$18,MAX(0,C748+E748-'Loan Inputs'!$B$17)))</f>
        <v/>
      </c>
    </row>
    <row r="749" spans="1:8" ht="22" customHeight="1">
      <c r="A749" s="1" t="str">
        <f>IF(AND('Loan Inputs'!$B$12,743&lt;=IF('Loan Inputs'!$B$12,'Loan Inputs'!$B$7,0)*'Loan Inputs'!$B$14+5*'Loan Inputs'!$B$14,ISNUMBER(G748),G748&gt;0),743,"")</f>
        <v/>
      </c>
      <c r="B749" s="4" t="str">
        <f>IF(A749="","",IF('Loan Inputs'!$B$14=12,DATE(YEAR('Loan Inputs'!$B$8),MONTH('Loan Inputs'!$B$8)+A749,DAY('Loan Inputs'!$B$8)),'Loan Inputs'!$B$8+A749*IF('Loan Inputs'!$B$14=26,14,7)))</f>
        <v/>
      </c>
      <c r="C749" s="2" t="str">
        <f t="shared" si="35"/>
        <v/>
      </c>
      <c r="D749" s="2" t="str">
        <f>IF(A749="","",MIN('Loan Inputs'!$B$17,C749+E749)+H749)</f>
        <v/>
      </c>
      <c r="E749" s="2" t="str">
        <f>IF(A749="","",C749*'Loan Inputs'!$B$15)</f>
        <v/>
      </c>
      <c r="F749" s="2" t="str">
        <f t="shared" si="33"/>
        <v/>
      </c>
      <c r="G749" s="2" t="str">
        <f t="shared" si="34"/>
        <v/>
      </c>
      <c r="H749" s="2" t="str">
        <f>IF(A749="","",MIN('Loan Inputs'!$B$18,MAX(0,C749+E749-'Loan Inputs'!$B$17)))</f>
        <v/>
      </c>
    </row>
    <row r="750" spans="1:8" ht="22" customHeight="1">
      <c r="A750" s="1" t="str">
        <f>IF(AND('Loan Inputs'!$B$12,744&lt;=IF('Loan Inputs'!$B$12,'Loan Inputs'!$B$7,0)*'Loan Inputs'!$B$14+5*'Loan Inputs'!$B$14,ISNUMBER(G749),G749&gt;0),744,"")</f>
        <v/>
      </c>
      <c r="B750" s="4" t="str">
        <f>IF(A750="","",IF('Loan Inputs'!$B$14=12,DATE(YEAR('Loan Inputs'!$B$8),MONTH('Loan Inputs'!$B$8)+A750,DAY('Loan Inputs'!$B$8)),'Loan Inputs'!$B$8+A750*IF('Loan Inputs'!$B$14=26,14,7)))</f>
        <v/>
      </c>
      <c r="C750" s="2" t="str">
        <f t="shared" si="35"/>
        <v/>
      </c>
      <c r="D750" s="2" t="str">
        <f>IF(A750="","",MIN('Loan Inputs'!$B$17,C750+E750)+H750)</f>
        <v/>
      </c>
      <c r="E750" s="2" t="str">
        <f>IF(A750="","",C750*'Loan Inputs'!$B$15)</f>
        <v/>
      </c>
      <c r="F750" s="2" t="str">
        <f t="shared" si="33"/>
        <v/>
      </c>
      <c r="G750" s="2" t="str">
        <f t="shared" si="34"/>
        <v/>
      </c>
      <c r="H750" s="2" t="str">
        <f>IF(A750="","",MIN('Loan Inputs'!$B$18,MAX(0,C750+E750-'Loan Inputs'!$B$17)))</f>
        <v/>
      </c>
    </row>
    <row r="751" spans="1:8" ht="22" customHeight="1">
      <c r="A751" s="1" t="str">
        <f>IF(AND('Loan Inputs'!$B$12,745&lt;=IF('Loan Inputs'!$B$12,'Loan Inputs'!$B$7,0)*'Loan Inputs'!$B$14+5*'Loan Inputs'!$B$14,ISNUMBER(G750),G750&gt;0),745,"")</f>
        <v/>
      </c>
      <c r="B751" s="4" t="str">
        <f>IF(A751="","",IF('Loan Inputs'!$B$14=12,DATE(YEAR('Loan Inputs'!$B$8),MONTH('Loan Inputs'!$B$8)+A751,DAY('Loan Inputs'!$B$8)),'Loan Inputs'!$B$8+A751*IF('Loan Inputs'!$B$14=26,14,7)))</f>
        <v/>
      </c>
      <c r="C751" s="2" t="str">
        <f t="shared" si="35"/>
        <v/>
      </c>
      <c r="D751" s="2" t="str">
        <f>IF(A751="","",MIN('Loan Inputs'!$B$17,C751+E751)+H751)</f>
        <v/>
      </c>
      <c r="E751" s="2" t="str">
        <f>IF(A751="","",C751*'Loan Inputs'!$B$15)</f>
        <v/>
      </c>
      <c r="F751" s="2" t="str">
        <f t="shared" si="33"/>
        <v/>
      </c>
      <c r="G751" s="2" t="str">
        <f t="shared" si="34"/>
        <v/>
      </c>
      <c r="H751" s="2" t="str">
        <f>IF(A751="","",MIN('Loan Inputs'!$B$18,MAX(0,C751+E751-'Loan Inputs'!$B$17)))</f>
        <v/>
      </c>
    </row>
    <row r="752" spans="1:8" ht="22" customHeight="1">
      <c r="A752" s="1" t="str">
        <f>IF(AND('Loan Inputs'!$B$12,746&lt;=IF('Loan Inputs'!$B$12,'Loan Inputs'!$B$7,0)*'Loan Inputs'!$B$14+5*'Loan Inputs'!$B$14,ISNUMBER(G751),G751&gt;0),746,"")</f>
        <v/>
      </c>
      <c r="B752" s="4" t="str">
        <f>IF(A752="","",IF('Loan Inputs'!$B$14=12,DATE(YEAR('Loan Inputs'!$B$8),MONTH('Loan Inputs'!$B$8)+A752,DAY('Loan Inputs'!$B$8)),'Loan Inputs'!$B$8+A752*IF('Loan Inputs'!$B$14=26,14,7)))</f>
        <v/>
      </c>
      <c r="C752" s="2" t="str">
        <f t="shared" si="35"/>
        <v/>
      </c>
      <c r="D752" s="2" t="str">
        <f>IF(A752="","",MIN('Loan Inputs'!$B$17,C752+E752)+H752)</f>
        <v/>
      </c>
      <c r="E752" s="2" t="str">
        <f>IF(A752="","",C752*'Loan Inputs'!$B$15)</f>
        <v/>
      </c>
      <c r="F752" s="2" t="str">
        <f t="shared" si="33"/>
        <v/>
      </c>
      <c r="G752" s="2" t="str">
        <f t="shared" si="34"/>
        <v/>
      </c>
      <c r="H752" s="2" t="str">
        <f>IF(A752="","",MIN('Loan Inputs'!$B$18,MAX(0,C752+E752-'Loan Inputs'!$B$17)))</f>
        <v/>
      </c>
    </row>
    <row r="753" spans="1:8" ht="22" customHeight="1">
      <c r="A753" s="1" t="str">
        <f>IF(AND('Loan Inputs'!$B$12,747&lt;=IF('Loan Inputs'!$B$12,'Loan Inputs'!$B$7,0)*'Loan Inputs'!$B$14+5*'Loan Inputs'!$B$14,ISNUMBER(G752),G752&gt;0),747,"")</f>
        <v/>
      </c>
      <c r="B753" s="4" t="str">
        <f>IF(A753="","",IF('Loan Inputs'!$B$14=12,DATE(YEAR('Loan Inputs'!$B$8),MONTH('Loan Inputs'!$B$8)+A753,DAY('Loan Inputs'!$B$8)),'Loan Inputs'!$B$8+A753*IF('Loan Inputs'!$B$14=26,14,7)))</f>
        <v/>
      </c>
      <c r="C753" s="2" t="str">
        <f t="shared" si="35"/>
        <v/>
      </c>
      <c r="D753" s="2" t="str">
        <f>IF(A753="","",MIN('Loan Inputs'!$B$17,C753+E753)+H753)</f>
        <v/>
      </c>
      <c r="E753" s="2" t="str">
        <f>IF(A753="","",C753*'Loan Inputs'!$B$15)</f>
        <v/>
      </c>
      <c r="F753" s="2" t="str">
        <f t="shared" si="33"/>
        <v/>
      </c>
      <c r="G753" s="2" t="str">
        <f t="shared" si="34"/>
        <v/>
      </c>
      <c r="H753" s="2" t="str">
        <f>IF(A753="","",MIN('Loan Inputs'!$B$18,MAX(0,C753+E753-'Loan Inputs'!$B$17)))</f>
        <v/>
      </c>
    </row>
    <row r="754" spans="1:8" ht="22" customHeight="1">
      <c r="A754" s="1" t="str">
        <f>IF(AND('Loan Inputs'!$B$12,748&lt;=IF('Loan Inputs'!$B$12,'Loan Inputs'!$B$7,0)*'Loan Inputs'!$B$14+5*'Loan Inputs'!$B$14,ISNUMBER(G753),G753&gt;0),748,"")</f>
        <v/>
      </c>
      <c r="B754" s="4" t="str">
        <f>IF(A754="","",IF('Loan Inputs'!$B$14=12,DATE(YEAR('Loan Inputs'!$B$8),MONTH('Loan Inputs'!$B$8)+A754,DAY('Loan Inputs'!$B$8)),'Loan Inputs'!$B$8+A754*IF('Loan Inputs'!$B$14=26,14,7)))</f>
        <v/>
      </c>
      <c r="C754" s="2" t="str">
        <f t="shared" si="35"/>
        <v/>
      </c>
      <c r="D754" s="2" t="str">
        <f>IF(A754="","",MIN('Loan Inputs'!$B$17,C754+E754)+H754)</f>
        <v/>
      </c>
      <c r="E754" s="2" t="str">
        <f>IF(A754="","",C754*'Loan Inputs'!$B$15)</f>
        <v/>
      </c>
      <c r="F754" s="2" t="str">
        <f t="shared" si="33"/>
        <v/>
      </c>
      <c r="G754" s="2" t="str">
        <f t="shared" si="34"/>
        <v/>
      </c>
      <c r="H754" s="2" t="str">
        <f>IF(A754="","",MIN('Loan Inputs'!$B$18,MAX(0,C754+E754-'Loan Inputs'!$B$17)))</f>
        <v/>
      </c>
    </row>
    <row r="755" spans="1:8" ht="22" customHeight="1">
      <c r="A755" s="1" t="str">
        <f>IF(AND('Loan Inputs'!$B$12,749&lt;=IF('Loan Inputs'!$B$12,'Loan Inputs'!$B$7,0)*'Loan Inputs'!$B$14+5*'Loan Inputs'!$B$14,ISNUMBER(G754),G754&gt;0),749,"")</f>
        <v/>
      </c>
      <c r="B755" s="4" t="str">
        <f>IF(A755="","",IF('Loan Inputs'!$B$14=12,DATE(YEAR('Loan Inputs'!$B$8),MONTH('Loan Inputs'!$B$8)+A755,DAY('Loan Inputs'!$B$8)),'Loan Inputs'!$B$8+A755*IF('Loan Inputs'!$B$14=26,14,7)))</f>
        <v/>
      </c>
      <c r="C755" s="2" t="str">
        <f t="shared" si="35"/>
        <v/>
      </c>
      <c r="D755" s="2" t="str">
        <f>IF(A755="","",MIN('Loan Inputs'!$B$17,C755+E755)+H755)</f>
        <v/>
      </c>
      <c r="E755" s="2" t="str">
        <f>IF(A755="","",C755*'Loan Inputs'!$B$15)</f>
        <v/>
      </c>
      <c r="F755" s="2" t="str">
        <f t="shared" si="33"/>
        <v/>
      </c>
      <c r="G755" s="2" t="str">
        <f t="shared" si="34"/>
        <v/>
      </c>
      <c r="H755" s="2" t="str">
        <f>IF(A755="","",MIN('Loan Inputs'!$B$18,MAX(0,C755+E755-'Loan Inputs'!$B$17)))</f>
        <v/>
      </c>
    </row>
    <row r="756" spans="1:8" ht="22" customHeight="1">
      <c r="A756" s="1" t="str">
        <f>IF(AND('Loan Inputs'!$B$12,750&lt;=IF('Loan Inputs'!$B$12,'Loan Inputs'!$B$7,0)*'Loan Inputs'!$B$14+5*'Loan Inputs'!$B$14,ISNUMBER(G755),G755&gt;0),750,"")</f>
        <v/>
      </c>
      <c r="B756" s="4" t="str">
        <f>IF(A756="","",IF('Loan Inputs'!$B$14=12,DATE(YEAR('Loan Inputs'!$B$8),MONTH('Loan Inputs'!$B$8)+A756,DAY('Loan Inputs'!$B$8)),'Loan Inputs'!$B$8+A756*IF('Loan Inputs'!$B$14=26,14,7)))</f>
        <v/>
      </c>
      <c r="C756" s="2" t="str">
        <f t="shared" si="35"/>
        <v/>
      </c>
      <c r="D756" s="2" t="str">
        <f>IF(A756="","",MIN('Loan Inputs'!$B$17,C756+E756)+H756)</f>
        <v/>
      </c>
      <c r="E756" s="2" t="str">
        <f>IF(A756="","",C756*'Loan Inputs'!$B$15)</f>
        <v/>
      </c>
      <c r="F756" s="2" t="str">
        <f t="shared" si="33"/>
        <v/>
      </c>
      <c r="G756" s="2" t="str">
        <f t="shared" si="34"/>
        <v/>
      </c>
      <c r="H756" s="2" t="str">
        <f>IF(A756="","",MIN('Loan Inputs'!$B$18,MAX(0,C756+E756-'Loan Inputs'!$B$17)))</f>
        <v/>
      </c>
    </row>
    <row r="757" spans="1:8" ht="22" customHeight="1">
      <c r="A757" s="1" t="str">
        <f>IF(AND('Loan Inputs'!$B$12,751&lt;=IF('Loan Inputs'!$B$12,'Loan Inputs'!$B$7,0)*'Loan Inputs'!$B$14+5*'Loan Inputs'!$B$14,ISNUMBER(G756),G756&gt;0),751,"")</f>
        <v/>
      </c>
      <c r="B757" s="4" t="str">
        <f>IF(A757="","",IF('Loan Inputs'!$B$14=12,DATE(YEAR('Loan Inputs'!$B$8),MONTH('Loan Inputs'!$B$8)+A757,DAY('Loan Inputs'!$B$8)),'Loan Inputs'!$B$8+A757*IF('Loan Inputs'!$B$14=26,14,7)))</f>
        <v/>
      </c>
      <c r="C757" s="2" t="str">
        <f t="shared" si="35"/>
        <v/>
      </c>
      <c r="D757" s="2" t="str">
        <f>IF(A757="","",MIN('Loan Inputs'!$B$17,C757+E757)+H757)</f>
        <v/>
      </c>
      <c r="E757" s="2" t="str">
        <f>IF(A757="","",C757*'Loan Inputs'!$B$15)</f>
        <v/>
      </c>
      <c r="F757" s="2" t="str">
        <f t="shared" si="33"/>
        <v/>
      </c>
      <c r="G757" s="2" t="str">
        <f t="shared" si="34"/>
        <v/>
      </c>
      <c r="H757" s="2" t="str">
        <f>IF(A757="","",MIN('Loan Inputs'!$B$18,MAX(0,C757+E757-'Loan Inputs'!$B$17)))</f>
        <v/>
      </c>
    </row>
    <row r="758" spans="1:8" ht="22" customHeight="1">
      <c r="A758" s="1" t="str">
        <f>IF(AND('Loan Inputs'!$B$12,752&lt;=IF('Loan Inputs'!$B$12,'Loan Inputs'!$B$7,0)*'Loan Inputs'!$B$14+5*'Loan Inputs'!$B$14,ISNUMBER(G757),G757&gt;0),752,"")</f>
        <v/>
      </c>
      <c r="B758" s="4" t="str">
        <f>IF(A758="","",IF('Loan Inputs'!$B$14=12,DATE(YEAR('Loan Inputs'!$B$8),MONTH('Loan Inputs'!$B$8)+A758,DAY('Loan Inputs'!$B$8)),'Loan Inputs'!$B$8+A758*IF('Loan Inputs'!$B$14=26,14,7)))</f>
        <v/>
      </c>
      <c r="C758" s="2" t="str">
        <f t="shared" si="35"/>
        <v/>
      </c>
      <c r="D758" s="2" t="str">
        <f>IF(A758="","",MIN('Loan Inputs'!$B$17,C758+E758)+H758)</f>
        <v/>
      </c>
      <c r="E758" s="2" t="str">
        <f>IF(A758="","",C758*'Loan Inputs'!$B$15)</f>
        <v/>
      </c>
      <c r="F758" s="2" t="str">
        <f t="shared" si="33"/>
        <v/>
      </c>
      <c r="G758" s="2" t="str">
        <f t="shared" si="34"/>
        <v/>
      </c>
      <c r="H758" s="2" t="str">
        <f>IF(A758="","",MIN('Loan Inputs'!$B$18,MAX(0,C758+E758-'Loan Inputs'!$B$17)))</f>
        <v/>
      </c>
    </row>
    <row r="759" spans="1:8" ht="22" customHeight="1">
      <c r="A759" s="1" t="str">
        <f>IF(AND('Loan Inputs'!$B$12,753&lt;=IF('Loan Inputs'!$B$12,'Loan Inputs'!$B$7,0)*'Loan Inputs'!$B$14+5*'Loan Inputs'!$B$14,ISNUMBER(G758),G758&gt;0),753,"")</f>
        <v/>
      </c>
      <c r="B759" s="4" t="str">
        <f>IF(A759="","",IF('Loan Inputs'!$B$14=12,DATE(YEAR('Loan Inputs'!$B$8),MONTH('Loan Inputs'!$B$8)+A759,DAY('Loan Inputs'!$B$8)),'Loan Inputs'!$B$8+A759*IF('Loan Inputs'!$B$14=26,14,7)))</f>
        <v/>
      </c>
      <c r="C759" s="2" t="str">
        <f t="shared" si="35"/>
        <v/>
      </c>
      <c r="D759" s="2" t="str">
        <f>IF(A759="","",MIN('Loan Inputs'!$B$17,C759+E759)+H759)</f>
        <v/>
      </c>
      <c r="E759" s="2" t="str">
        <f>IF(A759="","",C759*'Loan Inputs'!$B$15)</f>
        <v/>
      </c>
      <c r="F759" s="2" t="str">
        <f t="shared" si="33"/>
        <v/>
      </c>
      <c r="G759" s="2" t="str">
        <f t="shared" si="34"/>
        <v/>
      </c>
      <c r="H759" s="2" t="str">
        <f>IF(A759="","",MIN('Loan Inputs'!$B$18,MAX(0,C759+E759-'Loan Inputs'!$B$17)))</f>
        <v/>
      </c>
    </row>
    <row r="760" spans="1:8" ht="22" customHeight="1">
      <c r="A760" s="1" t="str">
        <f>IF(AND('Loan Inputs'!$B$12,754&lt;=IF('Loan Inputs'!$B$12,'Loan Inputs'!$B$7,0)*'Loan Inputs'!$B$14+5*'Loan Inputs'!$B$14,ISNUMBER(G759),G759&gt;0),754,"")</f>
        <v/>
      </c>
      <c r="B760" s="4" t="str">
        <f>IF(A760="","",IF('Loan Inputs'!$B$14=12,DATE(YEAR('Loan Inputs'!$B$8),MONTH('Loan Inputs'!$B$8)+A760,DAY('Loan Inputs'!$B$8)),'Loan Inputs'!$B$8+A760*IF('Loan Inputs'!$B$14=26,14,7)))</f>
        <v/>
      </c>
      <c r="C760" s="2" t="str">
        <f t="shared" si="35"/>
        <v/>
      </c>
      <c r="D760" s="2" t="str">
        <f>IF(A760="","",MIN('Loan Inputs'!$B$17,C760+E760)+H760)</f>
        <v/>
      </c>
      <c r="E760" s="2" t="str">
        <f>IF(A760="","",C760*'Loan Inputs'!$B$15)</f>
        <v/>
      </c>
      <c r="F760" s="2" t="str">
        <f t="shared" si="33"/>
        <v/>
      </c>
      <c r="G760" s="2" t="str">
        <f t="shared" si="34"/>
        <v/>
      </c>
      <c r="H760" s="2" t="str">
        <f>IF(A760="","",MIN('Loan Inputs'!$B$18,MAX(0,C760+E760-'Loan Inputs'!$B$17)))</f>
        <v/>
      </c>
    </row>
    <row r="761" spans="1:8" ht="22" customHeight="1">
      <c r="A761" s="1" t="str">
        <f>IF(AND('Loan Inputs'!$B$12,755&lt;=IF('Loan Inputs'!$B$12,'Loan Inputs'!$B$7,0)*'Loan Inputs'!$B$14+5*'Loan Inputs'!$B$14,ISNUMBER(G760),G760&gt;0),755,"")</f>
        <v/>
      </c>
      <c r="B761" s="4" t="str">
        <f>IF(A761="","",IF('Loan Inputs'!$B$14=12,DATE(YEAR('Loan Inputs'!$B$8),MONTH('Loan Inputs'!$B$8)+A761,DAY('Loan Inputs'!$B$8)),'Loan Inputs'!$B$8+A761*IF('Loan Inputs'!$B$14=26,14,7)))</f>
        <v/>
      </c>
      <c r="C761" s="2" t="str">
        <f t="shared" si="35"/>
        <v/>
      </c>
      <c r="D761" s="2" t="str">
        <f>IF(A761="","",MIN('Loan Inputs'!$B$17,C761+E761)+H761)</f>
        <v/>
      </c>
      <c r="E761" s="2" t="str">
        <f>IF(A761="","",C761*'Loan Inputs'!$B$15)</f>
        <v/>
      </c>
      <c r="F761" s="2" t="str">
        <f t="shared" si="33"/>
        <v/>
      </c>
      <c r="G761" s="2" t="str">
        <f t="shared" si="34"/>
        <v/>
      </c>
      <c r="H761" s="2" t="str">
        <f>IF(A761="","",MIN('Loan Inputs'!$B$18,MAX(0,C761+E761-'Loan Inputs'!$B$17)))</f>
        <v/>
      </c>
    </row>
    <row r="762" spans="1:8" ht="22" customHeight="1">
      <c r="A762" s="1" t="str">
        <f>IF(AND('Loan Inputs'!$B$12,756&lt;=IF('Loan Inputs'!$B$12,'Loan Inputs'!$B$7,0)*'Loan Inputs'!$B$14+5*'Loan Inputs'!$B$14,ISNUMBER(G761),G761&gt;0),756,"")</f>
        <v/>
      </c>
      <c r="B762" s="4" t="str">
        <f>IF(A762="","",IF('Loan Inputs'!$B$14=12,DATE(YEAR('Loan Inputs'!$B$8),MONTH('Loan Inputs'!$B$8)+A762,DAY('Loan Inputs'!$B$8)),'Loan Inputs'!$B$8+A762*IF('Loan Inputs'!$B$14=26,14,7)))</f>
        <v/>
      </c>
      <c r="C762" s="2" t="str">
        <f t="shared" si="35"/>
        <v/>
      </c>
      <c r="D762" s="2" t="str">
        <f>IF(A762="","",MIN('Loan Inputs'!$B$17,C762+E762)+H762)</f>
        <v/>
      </c>
      <c r="E762" s="2" t="str">
        <f>IF(A762="","",C762*'Loan Inputs'!$B$15)</f>
        <v/>
      </c>
      <c r="F762" s="2" t="str">
        <f t="shared" si="33"/>
        <v/>
      </c>
      <c r="G762" s="2" t="str">
        <f t="shared" si="34"/>
        <v/>
      </c>
      <c r="H762" s="2" t="str">
        <f>IF(A762="","",MIN('Loan Inputs'!$B$18,MAX(0,C762+E762-'Loan Inputs'!$B$17)))</f>
        <v/>
      </c>
    </row>
    <row r="763" spans="1:8" ht="22" customHeight="1">
      <c r="A763" s="1" t="str">
        <f>IF(AND('Loan Inputs'!$B$12,757&lt;=IF('Loan Inputs'!$B$12,'Loan Inputs'!$B$7,0)*'Loan Inputs'!$B$14+5*'Loan Inputs'!$B$14,ISNUMBER(G762),G762&gt;0),757,"")</f>
        <v/>
      </c>
      <c r="B763" s="4" t="str">
        <f>IF(A763="","",IF('Loan Inputs'!$B$14=12,DATE(YEAR('Loan Inputs'!$B$8),MONTH('Loan Inputs'!$B$8)+A763,DAY('Loan Inputs'!$B$8)),'Loan Inputs'!$B$8+A763*IF('Loan Inputs'!$B$14=26,14,7)))</f>
        <v/>
      </c>
      <c r="C763" s="2" t="str">
        <f t="shared" si="35"/>
        <v/>
      </c>
      <c r="D763" s="2" t="str">
        <f>IF(A763="","",MIN('Loan Inputs'!$B$17,C763+E763)+H763)</f>
        <v/>
      </c>
      <c r="E763" s="2" t="str">
        <f>IF(A763="","",C763*'Loan Inputs'!$B$15)</f>
        <v/>
      </c>
      <c r="F763" s="2" t="str">
        <f t="shared" si="33"/>
        <v/>
      </c>
      <c r="G763" s="2" t="str">
        <f t="shared" si="34"/>
        <v/>
      </c>
      <c r="H763" s="2" t="str">
        <f>IF(A763="","",MIN('Loan Inputs'!$B$18,MAX(0,C763+E763-'Loan Inputs'!$B$17)))</f>
        <v/>
      </c>
    </row>
    <row r="764" spans="1:8" ht="22" customHeight="1">
      <c r="A764" s="1" t="str">
        <f>IF(AND('Loan Inputs'!$B$12,758&lt;=IF('Loan Inputs'!$B$12,'Loan Inputs'!$B$7,0)*'Loan Inputs'!$B$14+5*'Loan Inputs'!$B$14,ISNUMBER(G763),G763&gt;0),758,"")</f>
        <v/>
      </c>
      <c r="B764" s="4" t="str">
        <f>IF(A764="","",IF('Loan Inputs'!$B$14=12,DATE(YEAR('Loan Inputs'!$B$8),MONTH('Loan Inputs'!$B$8)+A764,DAY('Loan Inputs'!$B$8)),'Loan Inputs'!$B$8+A764*IF('Loan Inputs'!$B$14=26,14,7)))</f>
        <v/>
      </c>
      <c r="C764" s="2" t="str">
        <f t="shared" si="35"/>
        <v/>
      </c>
      <c r="D764" s="2" t="str">
        <f>IF(A764="","",MIN('Loan Inputs'!$B$17,C764+E764)+H764)</f>
        <v/>
      </c>
      <c r="E764" s="2" t="str">
        <f>IF(A764="","",C764*'Loan Inputs'!$B$15)</f>
        <v/>
      </c>
      <c r="F764" s="2" t="str">
        <f t="shared" si="33"/>
        <v/>
      </c>
      <c r="G764" s="2" t="str">
        <f t="shared" si="34"/>
        <v/>
      </c>
      <c r="H764" s="2" t="str">
        <f>IF(A764="","",MIN('Loan Inputs'!$B$18,MAX(0,C764+E764-'Loan Inputs'!$B$17)))</f>
        <v/>
      </c>
    </row>
    <row r="765" spans="1:8" ht="22" customHeight="1">
      <c r="A765" s="1" t="str">
        <f>IF(AND('Loan Inputs'!$B$12,759&lt;=IF('Loan Inputs'!$B$12,'Loan Inputs'!$B$7,0)*'Loan Inputs'!$B$14+5*'Loan Inputs'!$B$14,ISNUMBER(G764),G764&gt;0),759,"")</f>
        <v/>
      </c>
      <c r="B765" s="4" t="str">
        <f>IF(A765="","",IF('Loan Inputs'!$B$14=12,DATE(YEAR('Loan Inputs'!$B$8),MONTH('Loan Inputs'!$B$8)+A765,DAY('Loan Inputs'!$B$8)),'Loan Inputs'!$B$8+A765*IF('Loan Inputs'!$B$14=26,14,7)))</f>
        <v/>
      </c>
      <c r="C765" s="2" t="str">
        <f t="shared" si="35"/>
        <v/>
      </c>
      <c r="D765" s="2" t="str">
        <f>IF(A765="","",MIN('Loan Inputs'!$B$17,C765+E765)+H765)</f>
        <v/>
      </c>
      <c r="E765" s="2" t="str">
        <f>IF(A765="","",C765*'Loan Inputs'!$B$15)</f>
        <v/>
      </c>
      <c r="F765" s="2" t="str">
        <f t="shared" si="33"/>
        <v/>
      </c>
      <c r="G765" s="2" t="str">
        <f t="shared" si="34"/>
        <v/>
      </c>
      <c r="H765" s="2" t="str">
        <f>IF(A765="","",MIN('Loan Inputs'!$B$18,MAX(0,C765+E765-'Loan Inputs'!$B$17)))</f>
        <v/>
      </c>
    </row>
    <row r="766" spans="1:8" ht="22" customHeight="1">
      <c r="A766" s="1" t="str">
        <f>IF(AND('Loan Inputs'!$B$12,760&lt;=IF('Loan Inputs'!$B$12,'Loan Inputs'!$B$7,0)*'Loan Inputs'!$B$14+5*'Loan Inputs'!$B$14,ISNUMBER(G765),G765&gt;0),760,"")</f>
        <v/>
      </c>
      <c r="B766" s="4" t="str">
        <f>IF(A766="","",IF('Loan Inputs'!$B$14=12,DATE(YEAR('Loan Inputs'!$B$8),MONTH('Loan Inputs'!$B$8)+A766,DAY('Loan Inputs'!$B$8)),'Loan Inputs'!$B$8+A766*IF('Loan Inputs'!$B$14=26,14,7)))</f>
        <v/>
      </c>
      <c r="C766" s="2" t="str">
        <f t="shared" si="35"/>
        <v/>
      </c>
      <c r="D766" s="2" t="str">
        <f>IF(A766="","",MIN('Loan Inputs'!$B$17,C766+E766)+H766)</f>
        <v/>
      </c>
      <c r="E766" s="2" t="str">
        <f>IF(A766="","",C766*'Loan Inputs'!$B$15)</f>
        <v/>
      </c>
      <c r="F766" s="2" t="str">
        <f t="shared" si="33"/>
        <v/>
      </c>
      <c r="G766" s="2" t="str">
        <f t="shared" si="34"/>
        <v/>
      </c>
      <c r="H766" s="2" t="str">
        <f>IF(A766="","",MIN('Loan Inputs'!$B$18,MAX(0,C766+E766-'Loan Inputs'!$B$17)))</f>
        <v/>
      </c>
    </row>
    <row r="767" spans="1:8" ht="22" customHeight="1">
      <c r="A767" s="1" t="str">
        <f>IF(AND('Loan Inputs'!$B$12,761&lt;=IF('Loan Inputs'!$B$12,'Loan Inputs'!$B$7,0)*'Loan Inputs'!$B$14+5*'Loan Inputs'!$B$14,ISNUMBER(G766),G766&gt;0),761,"")</f>
        <v/>
      </c>
      <c r="B767" s="4" t="str">
        <f>IF(A767="","",IF('Loan Inputs'!$B$14=12,DATE(YEAR('Loan Inputs'!$B$8),MONTH('Loan Inputs'!$B$8)+A767,DAY('Loan Inputs'!$B$8)),'Loan Inputs'!$B$8+A767*IF('Loan Inputs'!$B$14=26,14,7)))</f>
        <v/>
      </c>
      <c r="C767" s="2" t="str">
        <f t="shared" si="35"/>
        <v/>
      </c>
      <c r="D767" s="2" t="str">
        <f>IF(A767="","",MIN('Loan Inputs'!$B$17,C767+E767)+H767)</f>
        <v/>
      </c>
      <c r="E767" s="2" t="str">
        <f>IF(A767="","",C767*'Loan Inputs'!$B$15)</f>
        <v/>
      </c>
      <c r="F767" s="2" t="str">
        <f t="shared" si="33"/>
        <v/>
      </c>
      <c r="G767" s="2" t="str">
        <f t="shared" si="34"/>
        <v/>
      </c>
      <c r="H767" s="2" t="str">
        <f>IF(A767="","",MIN('Loan Inputs'!$B$18,MAX(0,C767+E767-'Loan Inputs'!$B$17)))</f>
        <v/>
      </c>
    </row>
    <row r="768" spans="1:8" ht="22" customHeight="1">
      <c r="A768" s="1" t="str">
        <f>IF(AND('Loan Inputs'!$B$12,762&lt;=IF('Loan Inputs'!$B$12,'Loan Inputs'!$B$7,0)*'Loan Inputs'!$B$14+5*'Loan Inputs'!$B$14,ISNUMBER(G767),G767&gt;0),762,"")</f>
        <v/>
      </c>
      <c r="B768" s="4" t="str">
        <f>IF(A768="","",IF('Loan Inputs'!$B$14=12,DATE(YEAR('Loan Inputs'!$B$8),MONTH('Loan Inputs'!$B$8)+A768,DAY('Loan Inputs'!$B$8)),'Loan Inputs'!$B$8+A768*IF('Loan Inputs'!$B$14=26,14,7)))</f>
        <v/>
      </c>
      <c r="C768" s="2" t="str">
        <f t="shared" si="35"/>
        <v/>
      </c>
      <c r="D768" s="2" t="str">
        <f>IF(A768="","",MIN('Loan Inputs'!$B$17,C768+E768)+H768)</f>
        <v/>
      </c>
      <c r="E768" s="2" t="str">
        <f>IF(A768="","",C768*'Loan Inputs'!$B$15)</f>
        <v/>
      </c>
      <c r="F768" s="2" t="str">
        <f t="shared" si="33"/>
        <v/>
      </c>
      <c r="G768" s="2" t="str">
        <f t="shared" si="34"/>
        <v/>
      </c>
      <c r="H768" s="2" t="str">
        <f>IF(A768="","",MIN('Loan Inputs'!$B$18,MAX(0,C768+E768-'Loan Inputs'!$B$17)))</f>
        <v/>
      </c>
    </row>
    <row r="769" spans="1:8" ht="22" customHeight="1">
      <c r="A769" s="1" t="str">
        <f>IF(AND('Loan Inputs'!$B$12,763&lt;=IF('Loan Inputs'!$B$12,'Loan Inputs'!$B$7,0)*'Loan Inputs'!$B$14+5*'Loan Inputs'!$B$14,ISNUMBER(G768),G768&gt;0),763,"")</f>
        <v/>
      </c>
      <c r="B769" s="4" t="str">
        <f>IF(A769="","",IF('Loan Inputs'!$B$14=12,DATE(YEAR('Loan Inputs'!$B$8),MONTH('Loan Inputs'!$B$8)+A769,DAY('Loan Inputs'!$B$8)),'Loan Inputs'!$B$8+A769*IF('Loan Inputs'!$B$14=26,14,7)))</f>
        <v/>
      </c>
      <c r="C769" s="2" t="str">
        <f t="shared" si="35"/>
        <v/>
      </c>
      <c r="D769" s="2" t="str">
        <f>IF(A769="","",MIN('Loan Inputs'!$B$17,C769+E769)+H769)</f>
        <v/>
      </c>
      <c r="E769" s="2" t="str">
        <f>IF(A769="","",C769*'Loan Inputs'!$B$15)</f>
        <v/>
      </c>
      <c r="F769" s="2" t="str">
        <f t="shared" si="33"/>
        <v/>
      </c>
      <c r="G769" s="2" t="str">
        <f t="shared" si="34"/>
        <v/>
      </c>
      <c r="H769" s="2" t="str">
        <f>IF(A769="","",MIN('Loan Inputs'!$B$18,MAX(0,C769+E769-'Loan Inputs'!$B$17)))</f>
        <v/>
      </c>
    </row>
    <row r="770" spans="1:8" ht="22" customHeight="1">
      <c r="A770" s="1" t="str">
        <f>IF(AND('Loan Inputs'!$B$12,764&lt;=IF('Loan Inputs'!$B$12,'Loan Inputs'!$B$7,0)*'Loan Inputs'!$B$14+5*'Loan Inputs'!$B$14,ISNUMBER(G769),G769&gt;0),764,"")</f>
        <v/>
      </c>
      <c r="B770" s="4" t="str">
        <f>IF(A770="","",IF('Loan Inputs'!$B$14=12,DATE(YEAR('Loan Inputs'!$B$8),MONTH('Loan Inputs'!$B$8)+A770,DAY('Loan Inputs'!$B$8)),'Loan Inputs'!$B$8+A770*IF('Loan Inputs'!$B$14=26,14,7)))</f>
        <v/>
      </c>
      <c r="C770" s="2" t="str">
        <f t="shared" si="35"/>
        <v/>
      </c>
      <c r="D770" s="2" t="str">
        <f>IF(A770="","",MIN('Loan Inputs'!$B$17,C770+E770)+H770)</f>
        <v/>
      </c>
      <c r="E770" s="2" t="str">
        <f>IF(A770="","",C770*'Loan Inputs'!$B$15)</f>
        <v/>
      </c>
      <c r="F770" s="2" t="str">
        <f t="shared" si="33"/>
        <v/>
      </c>
      <c r="G770" s="2" t="str">
        <f t="shared" si="34"/>
        <v/>
      </c>
      <c r="H770" s="2" t="str">
        <f>IF(A770="","",MIN('Loan Inputs'!$B$18,MAX(0,C770+E770-'Loan Inputs'!$B$17)))</f>
        <v/>
      </c>
    </row>
    <row r="771" spans="1:8" ht="22" customHeight="1">
      <c r="A771" s="1" t="str">
        <f>IF(AND('Loan Inputs'!$B$12,765&lt;=IF('Loan Inputs'!$B$12,'Loan Inputs'!$B$7,0)*'Loan Inputs'!$B$14+5*'Loan Inputs'!$B$14,ISNUMBER(G770),G770&gt;0),765,"")</f>
        <v/>
      </c>
      <c r="B771" s="4" t="str">
        <f>IF(A771="","",IF('Loan Inputs'!$B$14=12,DATE(YEAR('Loan Inputs'!$B$8),MONTH('Loan Inputs'!$B$8)+A771,DAY('Loan Inputs'!$B$8)),'Loan Inputs'!$B$8+A771*IF('Loan Inputs'!$B$14=26,14,7)))</f>
        <v/>
      </c>
      <c r="C771" s="2" t="str">
        <f t="shared" si="35"/>
        <v/>
      </c>
      <c r="D771" s="2" t="str">
        <f>IF(A771="","",MIN('Loan Inputs'!$B$17,C771+E771)+H771)</f>
        <v/>
      </c>
      <c r="E771" s="2" t="str">
        <f>IF(A771="","",C771*'Loan Inputs'!$B$15)</f>
        <v/>
      </c>
      <c r="F771" s="2" t="str">
        <f t="shared" si="33"/>
        <v/>
      </c>
      <c r="G771" s="2" t="str">
        <f t="shared" si="34"/>
        <v/>
      </c>
      <c r="H771" s="2" t="str">
        <f>IF(A771="","",MIN('Loan Inputs'!$B$18,MAX(0,C771+E771-'Loan Inputs'!$B$17)))</f>
        <v/>
      </c>
    </row>
    <row r="772" spans="1:8" ht="22" customHeight="1">
      <c r="A772" s="1" t="str">
        <f>IF(AND('Loan Inputs'!$B$12,766&lt;=IF('Loan Inputs'!$B$12,'Loan Inputs'!$B$7,0)*'Loan Inputs'!$B$14+5*'Loan Inputs'!$B$14,ISNUMBER(G771),G771&gt;0),766,"")</f>
        <v/>
      </c>
      <c r="B772" s="4" t="str">
        <f>IF(A772="","",IF('Loan Inputs'!$B$14=12,DATE(YEAR('Loan Inputs'!$B$8),MONTH('Loan Inputs'!$B$8)+A772,DAY('Loan Inputs'!$B$8)),'Loan Inputs'!$B$8+A772*IF('Loan Inputs'!$B$14=26,14,7)))</f>
        <v/>
      </c>
      <c r="C772" s="2" t="str">
        <f t="shared" si="35"/>
        <v/>
      </c>
      <c r="D772" s="2" t="str">
        <f>IF(A772="","",MIN('Loan Inputs'!$B$17,C772+E772)+H772)</f>
        <v/>
      </c>
      <c r="E772" s="2" t="str">
        <f>IF(A772="","",C772*'Loan Inputs'!$B$15)</f>
        <v/>
      </c>
      <c r="F772" s="2" t="str">
        <f t="shared" si="33"/>
        <v/>
      </c>
      <c r="G772" s="2" t="str">
        <f t="shared" si="34"/>
        <v/>
      </c>
      <c r="H772" s="2" t="str">
        <f>IF(A772="","",MIN('Loan Inputs'!$B$18,MAX(0,C772+E772-'Loan Inputs'!$B$17)))</f>
        <v/>
      </c>
    </row>
    <row r="773" spans="1:8" ht="22" customHeight="1">
      <c r="A773" s="1" t="str">
        <f>IF(AND('Loan Inputs'!$B$12,767&lt;=IF('Loan Inputs'!$B$12,'Loan Inputs'!$B$7,0)*'Loan Inputs'!$B$14+5*'Loan Inputs'!$B$14,ISNUMBER(G772),G772&gt;0),767,"")</f>
        <v/>
      </c>
      <c r="B773" s="4" t="str">
        <f>IF(A773="","",IF('Loan Inputs'!$B$14=12,DATE(YEAR('Loan Inputs'!$B$8),MONTH('Loan Inputs'!$B$8)+A773,DAY('Loan Inputs'!$B$8)),'Loan Inputs'!$B$8+A773*IF('Loan Inputs'!$B$14=26,14,7)))</f>
        <v/>
      </c>
      <c r="C773" s="2" t="str">
        <f t="shared" si="35"/>
        <v/>
      </c>
      <c r="D773" s="2" t="str">
        <f>IF(A773="","",MIN('Loan Inputs'!$B$17,C773+E773)+H773)</f>
        <v/>
      </c>
      <c r="E773" s="2" t="str">
        <f>IF(A773="","",C773*'Loan Inputs'!$B$15)</f>
        <v/>
      </c>
      <c r="F773" s="2" t="str">
        <f t="shared" si="33"/>
        <v/>
      </c>
      <c r="G773" s="2" t="str">
        <f t="shared" si="34"/>
        <v/>
      </c>
      <c r="H773" s="2" t="str">
        <f>IF(A773="","",MIN('Loan Inputs'!$B$18,MAX(0,C773+E773-'Loan Inputs'!$B$17)))</f>
        <v/>
      </c>
    </row>
    <row r="774" spans="1:8" ht="22" customHeight="1">
      <c r="A774" s="1" t="str">
        <f>IF(AND('Loan Inputs'!$B$12,768&lt;=IF('Loan Inputs'!$B$12,'Loan Inputs'!$B$7,0)*'Loan Inputs'!$B$14+5*'Loan Inputs'!$B$14,ISNUMBER(G773),G773&gt;0),768,"")</f>
        <v/>
      </c>
      <c r="B774" s="4" t="str">
        <f>IF(A774="","",IF('Loan Inputs'!$B$14=12,DATE(YEAR('Loan Inputs'!$B$8),MONTH('Loan Inputs'!$B$8)+A774,DAY('Loan Inputs'!$B$8)),'Loan Inputs'!$B$8+A774*IF('Loan Inputs'!$B$14=26,14,7)))</f>
        <v/>
      </c>
      <c r="C774" s="2" t="str">
        <f t="shared" si="35"/>
        <v/>
      </c>
      <c r="D774" s="2" t="str">
        <f>IF(A774="","",MIN('Loan Inputs'!$B$17,C774+E774)+H774)</f>
        <v/>
      </c>
      <c r="E774" s="2" t="str">
        <f>IF(A774="","",C774*'Loan Inputs'!$B$15)</f>
        <v/>
      </c>
      <c r="F774" s="2" t="str">
        <f t="shared" si="33"/>
        <v/>
      </c>
      <c r="G774" s="2" t="str">
        <f t="shared" si="34"/>
        <v/>
      </c>
      <c r="H774" s="2" t="str">
        <f>IF(A774="","",MIN('Loan Inputs'!$B$18,MAX(0,C774+E774-'Loan Inputs'!$B$17)))</f>
        <v/>
      </c>
    </row>
    <row r="775" spans="1:8" ht="22" customHeight="1">
      <c r="A775" s="1" t="str">
        <f>IF(AND('Loan Inputs'!$B$12,769&lt;=IF('Loan Inputs'!$B$12,'Loan Inputs'!$B$7,0)*'Loan Inputs'!$B$14+5*'Loan Inputs'!$B$14,ISNUMBER(G774),G774&gt;0),769,"")</f>
        <v/>
      </c>
      <c r="B775" s="4" t="str">
        <f>IF(A775="","",IF('Loan Inputs'!$B$14=12,DATE(YEAR('Loan Inputs'!$B$8),MONTH('Loan Inputs'!$B$8)+A775,DAY('Loan Inputs'!$B$8)),'Loan Inputs'!$B$8+A775*IF('Loan Inputs'!$B$14=26,14,7)))</f>
        <v/>
      </c>
      <c r="C775" s="2" t="str">
        <f t="shared" si="35"/>
        <v/>
      </c>
      <c r="D775" s="2" t="str">
        <f>IF(A775="","",MIN('Loan Inputs'!$B$17,C775+E775)+H775)</f>
        <v/>
      </c>
      <c r="E775" s="2" t="str">
        <f>IF(A775="","",C775*'Loan Inputs'!$B$15)</f>
        <v/>
      </c>
      <c r="F775" s="2" t="str">
        <f t="shared" ref="F775:F838" si="36">IF(A775="","",MIN(C775,D775-E775))</f>
        <v/>
      </c>
      <c r="G775" s="2" t="str">
        <f t="shared" ref="G775:G838" si="37">IF(A775="","",IF(C775-F775&lt;0.0000001,0,MAX(0,C775-F775)))</f>
        <v/>
      </c>
      <c r="H775" s="2" t="str">
        <f>IF(A775="","",MIN('Loan Inputs'!$B$18,MAX(0,C775+E775-'Loan Inputs'!$B$17)))</f>
        <v/>
      </c>
    </row>
    <row r="776" spans="1:8" ht="22" customHeight="1">
      <c r="A776" s="1" t="str">
        <f>IF(AND('Loan Inputs'!$B$12,770&lt;=IF('Loan Inputs'!$B$12,'Loan Inputs'!$B$7,0)*'Loan Inputs'!$B$14+5*'Loan Inputs'!$B$14,ISNUMBER(G775),G775&gt;0),770,"")</f>
        <v/>
      </c>
      <c r="B776" s="4" t="str">
        <f>IF(A776="","",IF('Loan Inputs'!$B$14=12,DATE(YEAR('Loan Inputs'!$B$8),MONTH('Loan Inputs'!$B$8)+A776,DAY('Loan Inputs'!$B$8)),'Loan Inputs'!$B$8+A776*IF('Loan Inputs'!$B$14=26,14,7)))</f>
        <v/>
      </c>
      <c r="C776" s="2" t="str">
        <f t="shared" ref="C776:C839" si="38">IF(A776="","",G775)</f>
        <v/>
      </c>
      <c r="D776" s="2" t="str">
        <f>IF(A776="","",MIN('Loan Inputs'!$B$17,C776+E776)+H776)</f>
        <v/>
      </c>
      <c r="E776" s="2" t="str">
        <f>IF(A776="","",C776*'Loan Inputs'!$B$15)</f>
        <v/>
      </c>
      <c r="F776" s="2" t="str">
        <f t="shared" si="36"/>
        <v/>
      </c>
      <c r="G776" s="2" t="str">
        <f t="shared" si="37"/>
        <v/>
      </c>
      <c r="H776" s="2" t="str">
        <f>IF(A776="","",MIN('Loan Inputs'!$B$18,MAX(0,C776+E776-'Loan Inputs'!$B$17)))</f>
        <v/>
      </c>
    </row>
    <row r="777" spans="1:8" ht="22" customHeight="1">
      <c r="A777" s="1" t="str">
        <f>IF(AND('Loan Inputs'!$B$12,771&lt;=IF('Loan Inputs'!$B$12,'Loan Inputs'!$B$7,0)*'Loan Inputs'!$B$14+5*'Loan Inputs'!$B$14,ISNUMBER(G776),G776&gt;0),771,"")</f>
        <v/>
      </c>
      <c r="B777" s="4" t="str">
        <f>IF(A777="","",IF('Loan Inputs'!$B$14=12,DATE(YEAR('Loan Inputs'!$B$8),MONTH('Loan Inputs'!$B$8)+A777,DAY('Loan Inputs'!$B$8)),'Loan Inputs'!$B$8+A777*IF('Loan Inputs'!$B$14=26,14,7)))</f>
        <v/>
      </c>
      <c r="C777" s="2" t="str">
        <f t="shared" si="38"/>
        <v/>
      </c>
      <c r="D777" s="2" t="str">
        <f>IF(A777="","",MIN('Loan Inputs'!$B$17,C777+E777)+H777)</f>
        <v/>
      </c>
      <c r="E777" s="2" t="str">
        <f>IF(A777="","",C777*'Loan Inputs'!$B$15)</f>
        <v/>
      </c>
      <c r="F777" s="2" t="str">
        <f t="shared" si="36"/>
        <v/>
      </c>
      <c r="G777" s="2" t="str">
        <f t="shared" si="37"/>
        <v/>
      </c>
      <c r="H777" s="2" t="str">
        <f>IF(A777="","",MIN('Loan Inputs'!$B$18,MAX(0,C777+E777-'Loan Inputs'!$B$17)))</f>
        <v/>
      </c>
    </row>
    <row r="778" spans="1:8" ht="22" customHeight="1">
      <c r="A778" s="1" t="str">
        <f>IF(AND('Loan Inputs'!$B$12,772&lt;=IF('Loan Inputs'!$B$12,'Loan Inputs'!$B$7,0)*'Loan Inputs'!$B$14+5*'Loan Inputs'!$B$14,ISNUMBER(G777),G777&gt;0),772,"")</f>
        <v/>
      </c>
      <c r="B778" s="4" t="str">
        <f>IF(A778="","",IF('Loan Inputs'!$B$14=12,DATE(YEAR('Loan Inputs'!$B$8),MONTH('Loan Inputs'!$B$8)+A778,DAY('Loan Inputs'!$B$8)),'Loan Inputs'!$B$8+A778*IF('Loan Inputs'!$B$14=26,14,7)))</f>
        <v/>
      </c>
      <c r="C778" s="2" t="str">
        <f t="shared" si="38"/>
        <v/>
      </c>
      <c r="D778" s="2" t="str">
        <f>IF(A778="","",MIN('Loan Inputs'!$B$17,C778+E778)+H778)</f>
        <v/>
      </c>
      <c r="E778" s="2" t="str">
        <f>IF(A778="","",C778*'Loan Inputs'!$B$15)</f>
        <v/>
      </c>
      <c r="F778" s="2" t="str">
        <f t="shared" si="36"/>
        <v/>
      </c>
      <c r="G778" s="2" t="str">
        <f t="shared" si="37"/>
        <v/>
      </c>
      <c r="H778" s="2" t="str">
        <f>IF(A778="","",MIN('Loan Inputs'!$B$18,MAX(0,C778+E778-'Loan Inputs'!$B$17)))</f>
        <v/>
      </c>
    </row>
    <row r="779" spans="1:8" ht="22" customHeight="1">
      <c r="A779" s="1" t="str">
        <f>IF(AND('Loan Inputs'!$B$12,773&lt;=IF('Loan Inputs'!$B$12,'Loan Inputs'!$B$7,0)*'Loan Inputs'!$B$14+5*'Loan Inputs'!$B$14,ISNUMBER(G778),G778&gt;0),773,"")</f>
        <v/>
      </c>
      <c r="B779" s="4" t="str">
        <f>IF(A779="","",IF('Loan Inputs'!$B$14=12,DATE(YEAR('Loan Inputs'!$B$8),MONTH('Loan Inputs'!$B$8)+A779,DAY('Loan Inputs'!$B$8)),'Loan Inputs'!$B$8+A779*IF('Loan Inputs'!$B$14=26,14,7)))</f>
        <v/>
      </c>
      <c r="C779" s="2" t="str">
        <f t="shared" si="38"/>
        <v/>
      </c>
      <c r="D779" s="2" t="str">
        <f>IF(A779="","",MIN('Loan Inputs'!$B$17,C779+E779)+H779)</f>
        <v/>
      </c>
      <c r="E779" s="2" t="str">
        <f>IF(A779="","",C779*'Loan Inputs'!$B$15)</f>
        <v/>
      </c>
      <c r="F779" s="2" t="str">
        <f t="shared" si="36"/>
        <v/>
      </c>
      <c r="G779" s="2" t="str">
        <f t="shared" si="37"/>
        <v/>
      </c>
      <c r="H779" s="2" t="str">
        <f>IF(A779="","",MIN('Loan Inputs'!$B$18,MAX(0,C779+E779-'Loan Inputs'!$B$17)))</f>
        <v/>
      </c>
    </row>
    <row r="780" spans="1:8" ht="22" customHeight="1">
      <c r="A780" s="1" t="str">
        <f>IF(AND('Loan Inputs'!$B$12,774&lt;=IF('Loan Inputs'!$B$12,'Loan Inputs'!$B$7,0)*'Loan Inputs'!$B$14+5*'Loan Inputs'!$B$14,ISNUMBER(G779),G779&gt;0),774,"")</f>
        <v/>
      </c>
      <c r="B780" s="4" t="str">
        <f>IF(A780="","",IF('Loan Inputs'!$B$14=12,DATE(YEAR('Loan Inputs'!$B$8),MONTH('Loan Inputs'!$B$8)+A780,DAY('Loan Inputs'!$B$8)),'Loan Inputs'!$B$8+A780*IF('Loan Inputs'!$B$14=26,14,7)))</f>
        <v/>
      </c>
      <c r="C780" s="2" t="str">
        <f t="shared" si="38"/>
        <v/>
      </c>
      <c r="D780" s="2" t="str">
        <f>IF(A780="","",MIN('Loan Inputs'!$B$17,C780+E780)+H780)</f>
        <v/>
      </c>
      <c r="E780" s="2" t="str">
        <f>IF(A780="","",C780*'Loan Inputs'!$B$15)</f>
        <v/>
      </c>
      <c r="F780" s="2" t="str">
        <f t="shared" si="36"/>
        <v/>
      </c>
      <c r="G780" s="2" t="str">
        <f t="shared" si="37"/>
        <v/>
      </c>
      <c r="H780" s="2" t="str">
        <f>IF(A780="","",MIN('Loan Inputs'!$B$18,MAX(0,C780+E780-'Loan Inputs'!$B$17)))</f>
        <v/>
      </c>
    </row>
    <row r="781" spans="1:8" ht="22" customHeight="1">
      <c r="A781" s="1" t="str">
        <f>IF(AND('Loan Inputs'!$B$12,775&lt;=IF('Loan Inputs'!$B$12,'Loan Inputs'!$B$7,0)*'Loan Inputs'!$B$14+5*'Loan Inputs'!$B$14,ISNUMBER(G780),G780&gt;0),775,"")</f>
        <v/>
      </c>
      <c r="B781" s="4" t="str">
        <f>IF(A781="","",IF('Loan Inputs'!$B$14=12,DATE(YEAR('Loan Inputs'!$B$8),MONTH('Loan Inputs'!$B$8)+A781,DAY('Loan Inputs'!$B$8)),'Loan Inputs'!$B$8+A781*IF('Loan Inputs'!$B$14=26,14,7)))</f>
        <v/>
      </c>
      <c r="C781" s="2" t="str">
        <f t="shared" si="38"/>
        <v/>
      </c>
      <c r="D781" s="2" t="str">
        <f>IF(A781="","",MIN('Loan Inputs'!$B$17,C781+E781)+H781)</f>
        <v/>
      </c>
      <c r="E781" s="2" t="str">
        <f>IF(A781="","",C781*'Loan Inputs'!$B$15)</f>
        <v/>
      </c>
      <c r="F781" s="2" t="str">
        <f t="shared" si="36"/>
        <v/>
      </c>
      <c r="G781" s="2" t="str">
        <f t="shared" si="37"/>
        <v/>
      </c>
      <c r="H781" s="2" t="str">
        <f>IF(A781="","",MIN('Loan Inputs'!$B$18,MAX(0,C781+E781-'Loan Inputs'!$B$17)))</f>
        <v/>
      </c>
    </row>
    <row r="782" spans="1:8" ht="22" customHeight="1">
      <c r="A782" s="1" t="str">
        <f>IF(AND('Loan Inputs'!$B$12,776&lt;=IF('Loan Inputs'!$B$12,'Loan Inputs'!$B$7,0)*'Loan Inputs'!$B$14+5*'Loan Inputs'!$B$14,ISNUMBER(G781),G781&gt;0),776,"")</f>
        <v/>
      </c>
      <c r="B782" s="4" t="str">
        <f>IF(A782="","",IF('Loan Inputs'!$B$14=12,DATE(YEAR('Loan Inputs'!$B$8),MONTH('Loan Inputs'!$B$8)+A782,DAY('Loan Inputs'!$B$8)),'Loan Inputs'!$B$8+A782*IF('Loan Inputs'!$B$14=26,14,7)))</f>
        <v/>
      </c>
      <c r="C782" s="2" t="str">
        <f t="shared" si="38"/>
        <v/>
      </c>
      <c r="D782" s="2" t="str">
        <f>IF(A782="","",MIN('Loan Inputs'!$B$17,C782+E782)+H782)</f>
        <v/>
      </c>
      <c r="E782" s="2" t="str">
        <f>IF(A782="","",C782*'Loan Inputs'!$B$15)</f>
        <v/>
      </c>
      <c r="F782" s="2" t="str">
        <f t="shared" si="36"/>
        <v/>
      </c>
      <c r="G782" s="2" t="str">
        <f t="shared" si="37"/>
        <v/>
      </c>
      <c r="H782" s="2" t="str">
        <f>IF(A782="","",MIN('Loan Inputs'!$B$18,MAX(0,C782+E782-'Loan Inputs'!$B$17)))</f>
        <v/>
      </c>
    </row>
    <row r="783" spans="1:8" ht="22" customHeight="1">
      <c r="A783" s="1" t="str">
        <f>IF(AND('Loan Inputs'!$B$12,777&lt;=IF('Loan Inputs'!$B$12,'Loan Inputs'!$B$7,0)*'Loan Inputs'!$B$14+5*'Loan Inputs'!$B$14,ISNUMBER(G782),G782&gt;0),777,"")</f>
        <v/>
      </c>
      <c r="B783" s="4" t="str">
        <f>IF(A783="","",IF('Loan Inputs'!$B$14=12,DATE(YEAR('Loan Inputs'!$B$8),MONTH('Loan Inputs'!$B$8)+A783,DAY('Loan Inputs'!$B$8)),'Loan Inputs'!$B$8+A783*IF('Loan Inputs'!$B$14=26,14,7)))</f>
        <v/>
      </c>
      <c r="C783" s="2" t="str">
        <f t="shared" si="38"/>
        <v/>
      </c>
      <c r="D783" s="2" t="str">
        <f>IF(A783="","",MIN('Loan Inputs'!$B$17,C783+E783)+H783)</f>
        <v/>
      </c>
      <c r="E783" s="2" t="str">
        <f>IF(A783="","",C783*'Loan Inputs'!$B$15)</f>
        <v/>
      </c>
      <c r="F783" s="2" t="str">
        <f t="shared" si="36"/>
        <v/>
      </c>
      <c r="G783" s="2" t="str">
        <f t="shared" si="37"/>
        <v/>
      </c>
      <c r="H783" s="2" t="str">
        <f>IF(A783="","",MIN('Loan Inputs'!$B$18,MAX(0,C783+E783-'Loan Inputs'!$B$17)))</f>
        <v/>
      </c>
    </row>
    <row r="784" spans="1:8" ht="22" customHeight="1">
      <c r="A784" s="1" t="str">
        <f>IF(AND('Loan Inputs'!$B$12,778&lt;=IF('Loan Inputs'!$B$12,'Loan Inputs'!$B$7,0)*'Loan Inputs'!$B$14+5*'Loan Inputs'!$B$14,ISNUMBER(G783),G783&gt;0),778,"")</f>
        <v/>
      </c>
      <c r="B784" s="4" t="str">
        <f>IF(A784="","",IF('Loan Inputs'!$B$14=12,DATE(YEAR('Loan Inputs'!$B$8),MONTH('Loan Inputs'!$B$8)+A784,DAY('Loan Inputs'!$B$8)),'Loan Inputs'!$B$8+A784*IF('Loan Inputs'!$B$14=26,14,7)))</f>
        <v/>
      </c>
      <c r="C784" s="2" t="str">
        <f t="shared" si="38"/>
        <v/>
      </c>
      <c r="D784" s="2" t="str">
        <f>IF(A784="","",MIN('Loan Inputs'!$B$17,C784+E784)+H784)</f>
        <v/>
      </c>
      <c r="E784" s="2" t="str">
        <f>IF(A784="","",C784*'Loan Inputs'!$B$15)</f>
        <v/>
      </c>
      <c r="F784" s="2" t="str">
        <f t="shared" si="36"/>
        <v/>
      </c>
      <c r="G784" s="2" t="str">
        <f t="shared" si="37"/>
        <v/>
      </c>
      <c r="H784" s="2" t="str">
        <f>IF(A784="","",MIN('Loan Inputs'!$B$18,MAX(0,C784+E784-'Loan Inputs'!$B$17)))</f>
        <v/>
      </c>
    </row>
    <row r="785" spans="1:8" ht="22" customHeight="1">
      <c r="A785" s="1" t="str">
        <f>IF(AND('Loan Inputs'!$B$12,779&lt;=IF('Loan Inputs'!$B$12,'Loan Inputs'!$B$7,0)*'Loan Inputs'!$B$14+5*'Loan Inputs'!$B$14,ISNUMBER(G784),G784&gt;0),779,"")</f>
        <v/>
      </c>
      <c r="B785" s="4" t="str">
        <f>IF(A785="","",IF('Loan Inputs'!$B$14=12,DATE(YEAR('Loan Inputs'!$B$8),MONTH('Loan Inputs'!$B$8)+A785,DAY('Loan Inputs'!$B$8)),'Loan Inputs'!$B$8+A785*IF('Loan Inputs'!$B$14=26,14,7)))</f>
        <v/>
      </c>
      <c r="C785" s="2" t="str">
        <f t="shared" si="38"/>
        <v/>
      </c>
      <c r="D785" s="2" t="str">
        <f>IF(A785="","",MIN('Loan Inputs'!$B$17,C785+E785)+H785)</f>
        <v/>
      </c>
      <c r="E785" s="2" t="str">
        <f>IF(A785="","",C785*'Loan Inputs'!$B$15)</f>
        <v/>
      </c>
      <c r="F785" s="2" t="str">
        <f t="shared" si="36"/>
        <v/>
      </c>
      <c r="G785" s="2" t="str">
        <f t="shared" si="37"/>
        <v/>
      </c>
      <c r="H785" s="2" t="str">
        <f>IF(A785="","",MIN('Loan Inputs'!$B$18,MAX(0,C785+E785-'Loan Inputs'!$B$17)))</f>
        <v/>
      </c>
    </row>
    <row r="786" spans="1:8" ht="22" customHeight="1">
      <c r="A786" s="1" t="str">
        <f>IF(AND('Loan Inputs'!$B$12,780&lt;=IF('Loan Inputs'!$B$12,'Loan Inputs'!$B$7,0)*'Loan Inputs'!$B$14+5*'Loan Inputs'!$B$14,ISNUMBER(G785),G785&gt;0),780,"")</f>
        <v/>
      </c>
      <c r="B786" s="4" t="str">
        <f>IF(A786="","",IF('Loan Inputs'!$B$14=12,DATE(YEAR('Loan Inputs'!$B$8),MONTH('Loan Inputs'!$B$8)+A786,DAY('Loan Inputs'!$B$8)),'Loan Inputs'!$B$8+A786*IF('Loan Inputs'!$B$14=26,14,7)))</f>
        <v/>
      </c>
      <c r="C786" s="2" t="str">
        <f t="shared" si="38"/>
        <v/>
      </c>
      <c r="D786" s="2" t="str">
        <f>IF(A786="","",MIN('Loan Inputs'!$B$17,C786+E786)+H786)</f>
        <v/>
      </c>
      <c r="E786" s="2" t="str">
        <f>IF(A786="","",C786*'Loan Inputs'!$B$15)</f>
        <v/>
      </c>
      <c r="F786" s="2" t="str">
        <f t="shared" si="36"/>
        <v/>
      </c>
      <c r="G786" s="2" t="str">
        <f t="shared" si="37"/>
        <v/>
      </c>
      <c r="H786" s="2" t="str">
        <f>IF(A786="","",MIN('Loan Inputs'!$B$18,MAX(0,C786+E786-'Loan Inputs'!$B$17)))</f>
        <v/>
      </c>
    </row>
    <row r="787" spans="1:8" ht="22" customHeight="1">
      <c r="A787" s="1" t="str">
        <f>IF(AND('Loan Inputs'!$B$12,781&lt;=IF('Loan Inputs'!$B$12,'Loan Inputs'!$B$7,0)*'Loan Inputs'!$B$14+5*'Loan Inputs'!$B$14,ISNUMBER(G786),G786&gt;0),781,"")</f>
        <v/>
      </c>
      <c r="B787" s="4" t="str">
        <f>IF(A787="","",IF('Loan Inputs'!$B$14=12,DATE(YEAR('Loan Inputs'!$B$8),MONTH('Loan Inputs'!$B$8)+A787,DAY('Loan Inputs'!$B$8)),'Loan Inputs'!$B$8+A787*IF('Loan Inputs'!$B$14=26,14,7)))</f>
        <v/>
      </c>
      <c r="C787" s="2" t="str">
        <f t="shared" si="38"/>
        <v/>
      </c>
      <c r="D787" s="2" t="str">
        <f>IF(A787="","",MIN('Loan Inputs'!$B$17,C787+E787)+H787)</f>
        <v/>
      </c>
      <c r="E787" s="2" t="str">
        <f>IF(A787="","",C787*'Loan Inputs'!$B$15)</f>
        <v/>
      </c>
      <c r="F787" s="2" t="str">
        <f t="shared" si="36"/>
        <v/>
      </c>
      <c r="G787" s="2" t="str">
        <f t="shared" si="37"/>
        <v/>
      </c>
      <c r="H787" s="2" t="str">
        <f>IF(A787="","",MIN('Loan Inputs'!$B$18,MAX(0,C787+E787-'Loan Inputs'!$B$17)))</f>
        <v/>
      </c>
    </row>
    <row r="788" spans="1:8" ht="22" customHeight="1">
      <c r="A788" s="1" t="str">
        <f>IF(AND('Loan Inputs'!$B$12,782&lt;=IF('Loan Inputs'!$B$12,'Loan Inputs'!$B$7,0)*'Loan Inputs'!$B$14+5*'Loan Inputs'!$B$14,ISNUMBER(G787),G787&gt;0),782,"")</f>
        <v/>
      </c>
      <c r="B788" s="4" t="str">
        <f>IF(A788="","",IF('Loan Inputs'!$B$14=12,DATE(YEAR('Loan Inputs'!$B$8),MONTH('Loan Inputs'!$B$8)+A788,DAY('Loan Inputs'!$B$8)),'Loan Inputs'!$B$8+A788*IF('Loan Inputs'!$B$14=26,14,7)))</f>
        <v/>
      </c>
      <c r="C788" s="2" t="str">
        <f t="shared" si="38"/>
        <v/>
      </c>
      <c r="D788" s="2" t="str">
        <f>IF(A788="","",MIN('Loan Inputs'!$B$17,C788+E788)+H788)</f>
        <v/>
      </c>
      <c r="E788" s="2" t="str">
        <f>IF(A788="","",C788*'Loan Inputs'!$B$15)</f>
        <v/>
      </c>
      <c r="F788" s="2" t="str">
        <f t="shared" si="36"/>
        <v/>
      </c>
      <c r="G788" s="2" t="str">
        <f t="shared" si="37"/>
        <v/>
      </c>
      <c r="H788" s="2" t="str">
        <f>IF(A788="","",MIN('Loan Inputs'!$B$18,MAX(0,C788+E788-'Loan Inputs'!$B$17)))</f>
        <v/>
      </c>
    </row>
    <row r="789" spans="1:8" ht="22" customHeight="1">
      <c r="A789" s="1" t="str">
        <f>IF(AND('Loan Inputs'!$B$12,783&lt;=IF('Loan Inputs'!$B$12,'Loan Inputs'!$B$7,0)*'Loan Inputs'!$B$14+5*'Loan Inputs'!$B$14,ISNUMBER(G788),G788&gt;0),783,"")</f>
        <v/>
      </c>
      <c r="B789" s="4" t="str">
        <f>IF(A789="","",IF('Loan Inputs'!$B$14=12,DATE(YEAR('Loan Inputs'!$B$8),MONTH('Loan Inputs'!$B$8)+A789,DAY('Loan Inputs'!$B$8)),'Loan Inputs'!$B$8+A789*IF('Loan Inputs'!$B$14=26,14,7)))</f>
        <v/>
      </c>
      <c r="C789" s="2" t="str">
        <f t="shared" si="38"/>
        <v/>
      </c>
      <c r="D789" s="2" t="str">
        <f>IF(A789="","",MIN('Loan Inputs'!$B$17,C789+E789)+H789)</f>
        <v/>
      </c>
      <c r="E789" s="2" t="str">
        <f>IF(A789="","",C789*'Loan Inputs'!$B$15)</f>
        <v/>
      </c>
      <c r="F789" s="2" t="str">
        <f t="shared" si="36"/>
        <v/>
      </c>
      <c r="G789" s="2" t="str">
        <f t="shared" si="37"/>
        <v/>
      </c>
      <c r="H789" s="2" t="str">
        <f>IF(A789="","",MIN('Loan Inputs'!$B$18,MAX(0,C789+E789-'Loan Inputs'!$B$17)))</f>
        <v/>
      </c>
    </row>
    <row r="790" spans="1:8" ht="22" customHeight="1">
      <c r="A790" s="1" t="str">
        <f>IF(AND('Loan Inputs'!$B$12,784&lt;=IF('Loan Inputs'!$B$12,'Loan Inputs'!$B$7,0)*'Loan Inputs'!$B$14+5*'Loan Inputs'!$B$14,ISNUMBER(G789),G789&gt;0),784,"")</f>
        <v/>
      </c>
      <c r="B790" s="4" t="str">
        <f>IF(A790="","",IF('Loan Inputs'!$B$14=12,DATE(YEAR('Loan Inputs'!$B$8),MONTH('Loan Inputs'!$B$8)+A790,DAY('Loan Inputs'!$B$8)),'Loan Inputs'!$B$8+A790*IF('Loan Inputs'!$B$14=26,14,7)))</f>
        <v/>
      </c>
      <c r="C790" s="2" t="str">
        <f t="shared" si="38"/>
        <v/>
      </c>
      <c r="D790" s="2" t="str">
        <f>IF(A790="","",MIN('Loan Inputs'!$B$17,C790+E790)+H790)</f>
        <v/>
      </c>
      <c r="E790" s="2" t="str">
        <f>IF(A790="","",C790*'Loan Inputs'!$B$15)</f>
        <v/>
      </c>
      <c r="F790" s="2" t="str">
        <f t="shared" si="36"/>
        <v/>
      </c>
      <c r="G790" s="2" t="str">
        <f t="shared" si="37"/>
        <v/>
      </c>
      <c r="H790" s="2" t="str">
        <f>IF(A790="","",MIN('Loan Inputs'!$B$18,MAX(0,C790+E790-'Loan Inputs'!$B$17)))</f>
        <v/>
      </c>
    </row>
    <row r="791" spans="1:8" ht="22" customHeight="1">
      <c r="A791" s="1" t="str">
        <f>IF(AND('Loan Inputs'!$B$12,785&lt;=IF('Loan Inputs'!$B$12,'Loan Inputs'!$B$7,0)*'Loan Inputs'!$B$14+5*'Loan Inputs'!$B$14,ISNUMBER(G790),G790&gt;0),785,"")</f>
        <v/>
      </c>
      <c r="B791" s="4" t="str">
        <f>IF(A791="","",IF('Loan Inputs'!$B$14=12,DATE(YEAR('Loan Inputs'!$B$8),MONTH('Loan Inputs'!$B$8)+A791,DAY('Loan Inputs'!$B$8)),'Loan Inputs'!$B$8+A791*IF('Loan Inputs'!$B$14=26,14,7)))</f>
        <v/>
      </c>
      <c r="C791" s="2" t="str">
        <f t="shared" si="38"/>
        <v/>
      </c>
      <c r="D791" s="2" t="str">
        <f>IF(A791="","",MIN('Loan Inputs'!$B$17,C791+E791)+H791)</f>
        <v/>
      </c>
      <c r="E791" s="2" t="str">
        <f>IF(A791="","",C791*'Loan Inputs'!$B$15)</f>
        <v/>
      </c>
      <c r="F791" s="2" t="str">
        <f t="shared" si="36"/>
        <v/>
      </c>
      <c r="G791" s="2" t="str">
        <f t="shared" si="37"/>
        <v/>
      </c>
      <c r="H791" s="2" t="str">
        <f>IF(A791="","",MIN('Loan Inputs'!$B$18,MAX(0,C791+E791-'Loan Inputs'!$B$17)))</f>
        <v/>
      </c>
    </row>
    <row r="792" spans="1:8" ht="22" customHeight="1">
      <c r="A792" s="1" t="str">
        <f>IF(AND('Loan Inputs'!$B$12,786&lt;=IF('Loan Inputs'!$B$12,'Loan Inputs'!$B$7,0)*'Loan Inputs'!$B$14+5*'Loan Inputs'!$B$14,ISNUMBER(G791),G791&gt;0),786,"")</f>
        <v/>
      </c>
      <c r="B792" s="4" t="str">
        <f>IF(A792="","",IF('Loan Inputs'!$B$14=12,DATE(YEAR('Loan Inputs'!$B$8),MONTH('Loan Inputs'!$B$8)+A792,DAY('Loan Inputs'!$B$8)),'Loan Inputs'!$B$8+A792*IF('Loan Inputs'!$B$14=26,14,7)))</f>
        <v/>
      </c>
      <c r="C792" s="2" t="str">
        <f t="shared" si="38"/>
        <v/>
      </c>
      <c r="D792" s="2" t="str">
        <f>IF(A792="","",MIN('Loan Inputs'!$B$17,C792+E792)+H792)</f>
        <v/>
      </c>
      <c r="E792" s="2" t="str">
        <f>IF(A792="","",C792*'Loan Inputs'!$B$15)</f>
        <v/>
      </c>
      <c r="F792" s="2" t="str">
        <f t="shared" si="36"/>
        <v/>
      </c>
      <c r="G792" s="2" t="str">
        <f t="shared" si="37"/>
        <v/>
      </c>
      <c r="H792" s="2" t="str">
        <f>IF(A792="","",MIN('Loan Inputs'!$B$18,MAX(0,C792+E792-'Loan Inputs'!$B$17)))</f>
        <v/>
      </c>
    </row>
    <row r="793" spans="1:8" ht="22" customHeight="1">
      <c r="A793" s="1" t="str">
        <f>IF(AND('Loan Inputs'!$B$12,787&lt;=IF('Loan Inputs'!$B$12,'Loan Inputs'!$B$7,0)*'Loan Inputs'!$B$14+5*'Loan Inputs'!$B$14,ISNUMBER(G792),G792&gt;0),787,"")</f>
        <v/>
      </c>
      <c r="B793" s="4" t="str">
        <f>IF(A793="","",IF('Loan Inputs'!$B$14=12,DATE(YEAR('Loan Inputs'!$B$8),MONTH('Loan Inputs'!$B$8)+A793,DAY('Loan Inputs'!$B$8)),'Loan Inputs'!$B$8+A793*IF('Loan Inputs'!$B$14=26,14,7)))</f>
        <v/>
      </c>
      <c r="C793" s="2" t="str">
        <f t="shared" si="38"/>
        <v/>
      </c>
      <c r="D793" s="2" t="str">
        <f>IF(A793="","",MIN('Loan Inputs'!$B$17,C793+E793)+H793)</f>
        <v/>
      </c>
      <c r="E793" s="2" t="str">
        <f>IF(A793="","",C793*'Loan Inputs'!$B$15)</f>
        <v/>
      </c>
      <c r="F793" s="2" t="str">
        <f t="shared" si="36"/>
        <v/>
      </c>
      <c r="G793" s="2" t="str">
        <f t="shared" si="37"/>
        <v/>
      </c>
      <c r="H793" s="2" t="str">
        <f>IF(A793="","",MIN('Loan Inputs'!$B$18,MAX(0,C793+E793-'Loan Inputs'!$B$17)))</f>
        <v/>
      </c>
    </row>
    <row r="794" spans="1:8" ht="22" customHeight="1">
      <c r="A794" s="1" t="str">
        <f>IF(AND('Loan Inputs'!$B$12,788&lt;=IF('Loan Inputs'!$B$12,'Loan Inputs'!$B$7,0)*'Loan Inputs'!$B$14+5*'Loan Inputs'!$B$14,ISNUMBER(G793),G793&gt;0),788,"")</f>
        <v/>
      </c>
      <c r="B794" s="4" t="str">
        <f>IF(A794="","",IF('Loan Inputs'!$B$14=12,DATE(YEAR('Loan Inputs'!$B$8),MONTH('Loan Inputs'!$B$8)+A794,DAY('Loan Inputs'!$B$8)),'Loan Inputs'!$B$8+A794*IF('Loan Inputs'!$B$14=26,14,7)))</f>
        <v/>
      </c>
      <c r="C794" s="2" t="str">
        <f t="shared" si="38"/>
        <v/>
      </c>
      <c r="D794" s="2" t="str">
        <f>IF(A794="","",MIN('Loan Inputs'!$B$17,C794+E794)+H794)</f>
        <v/>
      </c>
      <c r="E794" s="2" t="str">
        <f>IF(A794="","",C794*'Loan Inputs'!$B$15)</f>
        <v/>
      </c>
      <c r="F794" s="2" t="str">
        <f t="shared" si="36"/>
        <v/>
      </c>
      <c r="G794" s="2" t="str">
        <f t="shared" si="37"/>
        <v/>
      </c>
      <c r="H794" s="2" t="str">
        <f>IF(A794="","",MIN('Loan Inputs'!$B$18,MAX(0,C794+E794-'Loan Inputs'!$B$17)))</f>
        <v/>
      </c>
    </row>
    <row r="795" spans="1:8" ht="22" customHeight="1">
      <c r="A795" s="1" t="str">
        <f>IF(AND('Loan Inputs'!$B$12,789&lt;=IF('Loan Inputs'!$B$12,'Loan Inputs'!$B$7,0)*'Loan Inputs'!$B$14+5*'Loan Inputs'!$B$14,ISNUMBER(G794),G794&gt;0),789,"")</f>
        <v/>
      </c>
      <c r="B795" s="4" t="str">
        <f>IF(A795="","",IF('Loan Inputs'!$B$14=12,DATE(YEAR('Loan Inputs'!$B$8),MONTH('Loan Inputs'!$B$8)+A795,DAY('Loan Inputs'!$B$8)),'Loan Inputs'!$B$8+A795*IF('Loan Inputs'!$B$14=26,14,7)))</f>
        <v/>
      </c>
      <c r="C795" s="2" t="str">
        <f t="shared" si="38"/>
        <v/>
      </c>
      <c r="D795" s="2" t="str">
        <f>IF(A795="","",MIN('Loan Inputs'!$B$17,C795+E795)+H795)</f>
        <v/>
      </c>
      <c r="E795" s="2" t="str">
        <f>IF(A795="","",C795*'Loan Inputs'!$B$15)</f>
        <v/>
      </c>
      <c r="F795" s="2" t="str">
        <f t="shared" si="36"/>
        <v/>
      </c>
      <c r="G795" s="2" t="str">
        <f t="shared" si="37"/>
        <v/>
      </c>
      <c r="H795" s="2" t="str">
        <f>IF(A795="","",MIN('Loan Inputs'!$B$18,MAX(0,C795+E795-'Loan Inputs'!$B$17)))</f>
        <v/>
      </c>
    </row>
    <row r="796" spans="1:8" ht="22" customHeight="1">
      <c r="A796" s="1" t="str">
        <f>IF(AND('Loan Inputs'!$B$12,790&lt;=IF('Loan Inputs'!$B$12,'Loan Inputs'!$B$7,0)*'Loan Inputs'!$B$14+5*'Loan Inputs'!$B$14,ISNUMBER(G795),G795&gt;0),790,"")</f>
        <v/>
      </c>
      <c r="B796" s="4" t="str">
        <f>IF(A796="","",IF('Loan Inputs'!$B$14=12,DATE(YEAR('Loan Inputs'!$B$8),MONTH('Loan Inputs'!$B$8)+A796,DAY('Loan Inputs'!$B$8)),'Loan Inputs'!$B$8+A796*IF('Loan Inputs'!$B$14=26,14,7)))</f>
        <v/>
      </c>
      <c r="C796" s="2" t="str">
        <f t="shared" si="38"/>
        <v/>
      </c>
      <c r="D796" s="2" t="str">
        <f>IF(A796="","",MIN('Loan Inputs'!$B$17,C796+E796)+H796)</f>
        <v/>
      </c>
      <c r="E796" s="2" t="str">
        <f>IF(A796="","",C796*'Loan Inputs'!$B$15)</f>
        <v/>
      </c>
      <c r="F796" s="2" t="str">
        <f t="shared" si="36"/>
        <v/>
      </c>
      <c r="G796" s="2" t="str">
        <f t="shared" si="37"/>
        <v/>
      </c>
      <c r="H796" s="2" t="str">
        <f>IF(A796="","",MIN('Loan Inputs'!$B$18,MAX(0,C796+E796-'Loan Inputs'!$B$17)))</f>
        <v/>
      </c>
    </row>
    <row r="797" spans="1:8" ht="22" customHeight="1">
      <c r="A797" s="1" t="str">
        <f>IF(AND('Loan Inputs'!$B$12,791&lt;=IF('Loan Inputs'!$B$12,'Loan Inputs'!$B$7,0)*'Loan Inputs'!$B$14+5*'Loan Inputs'!$B$14,ISNUMBER(G796),G796&gt;0),791,"")</f>
        <v/>
      </c>
      <c r="B797" s="4" t="str">
        <f>IF(A797="","",IF('Loan Inputs'!$B$14=12,DATE(YEAR('Loan Inputs'!$B$8),MONTH('Loan Inputs'!$B$8)+A797,DAY('Loan Inputs'!$B$8)),'Loan Inputs'!$B$8+A797*IF('Loan Inputs'!$B$14=26,14,7)))</f>
        <v/>
      </c>
      <c r="C797" s="2" t="str">
        <f t="shared" si="38"/>
        <v/>
      </c>
      <c r="D797" s="2" t="str">
        <f>IF(A797="","",MIN('Loan Inputs'!$B$17,C797+E797)+H797)</f>
        <v/>
      </c>
      <c r="E797" s="2" t="str">
        <f>IF(A797="","",C797*'Loan Inputs'!$B$15)</f>
        <v/>
      </c>
      <c r="F797" s="2" t="str">
        <f t="shared" si="36"/>
        <v/>
      </c>
      <c r="G797" s="2" t="str">
        <f t="shared" si="37"/>
        <v/>
      </c>
      <c r="H797" s="2" t="str">
        <f>IF(A797="","",MIN('Loan Inputs'!$B$18,MAX(0,C797+E797-'Loan Inputs'!$B$17)))</f>
        <v/>
      </c>
    </row>
    <row r="798" spans="1:8" ht="22" customHeight="1">
      <c r="A798" s="1" t="str">
        <f>IF(AND('Loan Inputs'!$B$12,792&lt;=IF('Loan Inputs'!$B$12,'Loan Inputs'!$B$7,0)*'Loan Inputs'!$B$14+5*'Loan Inputs'!$B$14,ISNUMBER(G797),G797&gt;0),792,"")</f>
        <v/>
      </c>
      <c r="B798" s="4" t="str">
        <f>IF(A798="","",IF('Loan Inputs'!$B$14=12,DATE(YEAR('Loan Inputs'!$B$8),MONTH('Loan Inputs'!$B$8)+A798,DAY('Loan Inputs'!$B$8)),'Loan Inputs'!$B$8+A798*IF('Loan Inputs'!$B$14=26,14,7)))</f>
        <v/>
      </c>
      <c r="C798" s="2" t="str">
        <f t="shared" si="38"/>
        <v/>
      </c>
      <c r="D798" s="2" t="str">
        <f>IF(A798="","",MIN('Loan Inputs'!$B$17,C798+E798)+H798)</f>
        <v/>
      </c>
      <c r="E798" s="2" t="str">
        <f>IF(A798="","",C798*'Loan Inputs'!$B$15)</f>
        <v/>
      </c>
      <c r="F798" s="2" t="str">
        <f t="shared" si="36"/>
        <v/>
      </c>
      <c r="G798" s="2" t="str">
        <f t="shared" si="37"/>
        <v/>
      </c>
      <c r="H798" s="2" t="str">
        <f>IF(A798="","",MIN('Loan Inputs'!$B$18,MAX(0,C798+E798-'Loan Inputs'!$B$17)))</f>
        <v/>
      </c>
    </row>
    <row r="799" spans="1:8" ht="22" customHeight="1">
      <c r="A799" s="1" t="str">
        <f>IF(AND('Loan Inputs'!$B$12,793&lt;=IF('Loan Inputs'!$B$12,'Loan Inputs'!$B$7,0)*'Loan Inputs'!$B$14+5*'Loan Inputs'!$B$14,ISNUMBER(G798),G798&gt;0),793,"")</f>
        <v/>
      </c>
      <c r="B799" s="4" t="str">
        <f>IF(A799="","",IF('Loan Inputs'!$B$14=12,DATE(YEAR('Loan Inputs'!$B$8),MONTH('Loan Inputs'!$B$8)+A799,DAY('Loan Inputs'!$B$8)),'Loan Inputs'!$B$8+A799*IF('Loan Inputs'!$B$14=26,14,7)))</f>
        <v/>
      </c>
      <c r="C799" s="2" t="str">
        <f t="shared" si="38"/>
        <v/>
      </c>
      <c r="D799" s="2" t="str">
        <f>IF(A799="","",MIN('Loan Inputs'!$B$17,C799+E799)+H799)</f>
        <v/>
      </c>
      <c r="E799" s="2" t="str">
        <f>IF(A799="","",C799*'Loan Inputs'!$B$15)</f>
        <v/>
      </c>
      <c r="F799" s="2" t="str">
        <f t="shared" si="36"/>
        <v/>
      </c>
      <c r="G799" s="2" t="str">
        <f t="shared" si="37"/>
        <v/>
      </c>
      <c r="H799" s="2" t="str">
        <f>IF(A799="","",MIN('Loan Inputs'!$B$18,MAX(0,C799+E799-'Loan Inputs'!$B$17)))</f>
        <v/>
      </c>
    </row>
    <row r="800" spans="1:8" ht="22" customHeight="1">
      <c r="A800" s="1" t="str">
        <f>IF(AND('Loan Inputs'!$B$12,794&lt;=IF('Loan Inputs'!$B$12,'Loan Inputs'!$B$7,0)*'Loan Inputs'!$B$14+5*'Loan Inputs'!$B$14,ISNUMBER(G799),G799&gt;0),794,"")</f>
        <v/>
      </c>
      <c r="B800" s="4" t="str">
        <f>IF(A800="","",IF('Loan Inputs'!$B$14=12,DATE(YEAR('Loan Inputs'!$B$8),MONTH('Loan Inputs'!$B$8)+A800,DAY('Loan Inputs'!$B$8)),'Loan Inputs'!$B$8+A800*IF('Loan Inputs'!$B$14=26,14,7)))</f>
        <v/>
      </c>
      <c r="C800" s="2" t="str">
        <f t="shared" si="38"/>
        <v/>
      </c>
      <c r="D800" s="2" t="str">
        <f>IF(A800="","",MIN('Loan Inputs'!$B$17,C800+E800)+H800)</f>
        <v/>
      </c>
      <c r="E800" s="2" t="str">
        <f>IF(A800="","",C800*'Loan Inputs'!$B$15)</f>
        <v/>
      </c>
      <c r="F800" s="2" t="str">
        <f t="shared" si="36"/>
        <v/>
      </c>
      <c r="G800" s="2" t="str">
        <f t="shared" si="37"/>
        <v/>
      </c>
      <c r="H800" s="2" t="str">
        <f>IF(A800="","",MIN('Loan Inputs'!$B$18,MAX(0,C800+E800-'Loan Inputs'!$B$17)))</f>
        <v/>
      </c>
    </row>
    <row r="801" spans="1:8" ht="22" customHeight="1">
      <c r="A801" s="1" t="str">
        <f>IF(AND('Loan Inputs'!$B$12,795&lt;=IF('Loan Inputs'!$B$12,'Loan Inputs'!$B$7,0)*'Loan Inputs'!$B$14+5*'Loan Inputs'!$B$14,ISNUMBER(G800),G800&gt;0),795,"")</f>
        <v/>
      </c>
      <c r="B801" s="4" t="str">
        <f>IF(A801="","",IF('Loan Inputs'!$B$14=12,DATE(YEAR('Loan Inputs'!$B$8),MONTH('Loan Inputs'!$B$8)+A801,DAY('Loan Inputs'!$B$8)),'Loan Inputs'!$B$8+A801*IF('Loan Inputs'!$B$14=26,14,7)))</f>
        <v/>
      </c>
      <c r="C801" s="2" t="str">
        <f t="shared" si="38"/>
        <v/>
      </c>
      <c r="D801" s="2" t="str">
        <f>IF(A801="","",MIN('Loan Inputs'!$B$17,C801+E801)+H801)</f>
        <v/>
      </c>
      <c r="E801" s="2" t="str">
        <f>IF(A801="","",C801*'Loan Inputs'!$B$15)</f>
        <v/>
      </c>
      <c r="F801" s="2" t="str">
        <f t="shared" si="36"/>
        <v/>
      </c>
      <c r="G801" s="2" t="str">
        <f t="shared" si="37"/>
        <v/>
      </c>
      <c r="H801" s="2" t="str">
        <f>IF(A801="","",MIN('Loan Inputs'!$B$18,MAX(0,C801+E801-'Loan Inputs'!$B$17)))</f>
        <v/>
      </c>
    </row>
    <row r="802" spans="1:8" ht="22" customHeight="1">
      <c r="A802" s="1" t="str">
        <f>IF(AND('Loan Inputs'!$B$12,796&lt;=IF('Loan Inputs'!$B$12,'Loan Inputs'!$B$7,0)*'Loan Inputs'!$B$14+5*'Loan Inputs'!$B$14,ISNUMBER(G801),G801&gt;0),796,"")</f>
        <v/>
      </c>
      <c r="B802" s="4" t="str">
        <f>IF(A802="","",IF('Loan Inputs'!$B$14=12,DATE(YEAR('Loan Inputs'!$B$8),MONTH('Loan Inputs'!$B$8)+A802,DAY('Loan Inputs'!$B$8)),'Loan Inputs'!$B$8+A802*IF('Loan Inputs'!$B$14=26,14,7)))</f>
        <v/>
      </c>
      <c r="C802" s="2" t="str">
        <f t="shared" si="38"/>
        <v/>
      </c>
      <c r="D802" s="2" t="str">
        <f>IF(A802="","",MIN('Loan Inputs'!$B$17,C802+E802)+H802)</f>
        <v/>
      </c>
      <c r="E802" s="2" t="str">
        <f>IF(A802="","",C802*'Loan Inputs'!$B$15)</f>
        <v/>
      </c>
      <c r="F802" s="2" t="str">
        <f t="shared" si="36"/>
        <v/>
      </c>
      <c r="G802" s="2" t="str">
        <f t="shared" si="37"/>
        <v/>
      </c>
      <c r="H802" s="2" t="str">
        <f>IF(A802="","",MIN('Loan Inputs'!$B$18,MAX(0,C802+E802-'Loan Inputs'!$B$17)))</f>
        <v/>
      </c>
    </row>
    <row r="803" spans="1:8" ht="22" customHeight="1">
      <c r="A803" s="1" t="str">
        <f>IF(AND('Loan Inputs'!$B$12,797&lt;=IF('Loan Inputs'!$B$12,'Loan Inputs'!$B$7,0)*'Loan Inputs'!$B$14+5*'Loan Inputs'!$B$14,ISNUMBER(G802),G802&gt;0),797,"")</f>
        <v/>
      </c>
      <c r="B803" s="4" t="str">
        <f>IF(A803="","",IF('Loan Inputs'!$B$14=12,DATE(YEAR('Loan Inputs'!$B$8),MONTH('Loan Inputs'!$B$8)+A803,DAY('Loan Inputs'!$B$8)),'Loan Inputs'!$B$8+A803*IF('Loan Inputs'!$B$14=26,14,7)))</f>
        <v/>
      </c>
      <c r="C803" s="2" t="str">
        <f t="shared" si="38"/>
        <v/>
      </c>
      <c r="D803" s="2" t="str">
        <f>IF(A803="","",MIN('Loan Inputs'!$B$17,C803+E803)+H803)</f>
        <v/>
      </c>
      <c r="E803" s="2" t="str">
        <f>IF(A803="","",C803*'Loan Inputs'!$B$15)</f>
        <v/>
      </c>
      <c r="F803" s="2" t="str">
        <f t="shared" si="36"/>
        <v/>
      </c>
      <c r="G803" s="2" t="str">
        <f t="shared" si="37"/>
        <v/>
      </c>
      <c r="H803" s="2" t="str">
        <f>IF(A803="","",MIN('Loan Inputs'!$B$18,MAX(0,C803+E803-'Loan Inputs'!$B$17)))</f>
        <v/>
      </c>
    </row>
    <row r="804" spans="1:8" ht="22" customHeight="1">
      <c r="A804" s="1" t="str">
        <f>IF(AND('Loan Inputs'!$B$12,798&lt;=IF('Loan Inputs'!$B$12,'Loan Inputs'!$B$7,0)*'Loan Inputs'!$B$14+5*'Loan Inputs'!$B$14,ISNUMBER(G803),G803&gt;0),798,"")</f>
        <v/>
      </c>
      <c r="B804" s="4" t="str">
        <f>IF(A804="","",IF('Loan Inputs'!$B$14=12,DATE(YEAR('Loan Inputs'!$B$8),MONTH('Loan Inputs'!$B$8)+A804,DAY('Loan Inputs'!$B$8)),'Loan Inputs'!$B$8+A804*IF('Loan Inputs'!$B$14=26,14,7)))</f>
        <v/>
      </c>
      <c r="C804" s="2" t="str">
        <f t="shared" si="38"/>
        <v/>
      </c>
      <c r="D804" s="2" t="str">
        <f>IF(A804="","",MIN('Loan Inputs'!$B$17,C804+E804)+H804)</f>
        <v/>
      </c>
      <c r="E804" s="2" t="str">
        <f>IF(A804="","",C804*'Loan Inputs'!$B$15)</f>
        <v/>
      </c>
      <c r="F804" s="2" t="str">
        <f t="shared" si="36"/>
        <v/>
      </c>
      <c r="G804" s="2" t="str">
        <f t="shared" si="37"/>
        <v/>
      </c>
      <c r="H804" s="2" t="str">
        <f>IF(A804="","",MIN('Loan Inputs'!$B$18,MAX(0,C804+E804-'Loan Inputs'!$B$17)))</f>
        <v/>
      </c>
    </row>
    <row r="805" spans="1:8" ht="22" customHeight="1">
      <c r="A805" s="1" t="str">
        <f>IF(AND('Loan Inputs'!$B$12,799&lt;=IF('Loan Inputs'!$B$12,'Loan Inputs'!$B$7,0)*'Loan Inputs'!$B$14+5*'Loan Inputs'!$B$14,ISNUMBER(G804),G804&gt;0),799,"")</f>
        <v/>
      </c>
      <c r="B805" s="4" t="str">
        <f>IF(A805="","",IF('Loan Inputs'!$B$14=12,DATE(YEAR('Loan Inputs'!$B$8),MONTH('Loan Inputs'!$B$8)+A805,DAY('Loan Inputs'!$B$8)),'Loan Inputs'!$B$8+A805*IF('Loan Inputs'!$B$14=26,14,7)))</f>
        <v/>
      </c>
      <c r="C805" s="2" t="str">
        <f t="shared" si="38"/>
        <v/>
      </c>
      <c r="D805" s="2" t="str">
        <f>IF(A805="","",MIN('Loan Inputs'!$B$17,C805+E805)+H805)</f>
        <v/>
      </c>
      <c r="E805" s="2" t="str">
        <f>IF(A805="","",C805*'Loan Inputs'!$B$15)</f>
        <v/>
      </c>
      <c r="F805" s="2" t="str">
        <f t="shared" si="36"/>
        <v/>
      </c>
      <c r="G805" s="2" t="str">
        <f t="shared" si="37"/>
        <v/>
      </c>
      <c r="H805" s="2" t="str">
        <f>IF(A805="","",MIN('Loan Inputs'!$B$18,MAX(0,C805+E805-'Loan Inputs'!$B$17)))</f>
        <v/>
      </c>
    </row>
    <row r="806" spans="1:8" ht="22" customHeight="1">
      <c r="A806" s="1" t="str">
        <f>IF(AND('Loan Inputs'!$B$12,800&lt;=IF('Loan Inputs'!$B$12,'Loan Inputs'!$B$7,0)*'Loan Inputs'!$B$14+5*'Loan Inputs'!$B$14,ISNUMBER(G805),G805&gt;0),800,"")</f>
        <v/>
      </c>
      <c r="B806" s="4" t="str">
        <f>IF(A806="","",IF('Loan Inputs'!$B$14=12,DATE(YEAR('Loan Inputs'!$B$8),MONTH('Loan Inputs'!$B$8)+A806,DAY('Loan Inputs'!$B$8)),'Loan Inputs'!$B$8+A806*IF('Loan Inputs'!$B$14=26,14,7)))</f>
        <v/>
      </c>
      <c r="C806" s="2" t="str">
        <f t="shared" si="38"/>
        <v/>
      </c>
      <c r="D806" s="2" t="str">
        <f>IF(A806="","",MIN('Loan Inputs'!$B$17,C806+E806)+H806)</f>
        <v/>
      </c>
      <c r="E806" s="2" t="str">
        <f>IF(A806="","",C806*'Loan Inputs'!$B$15)</f>
        <v/>
      </c>
      <c r="F806" s="2" t="str">
        <f t="shared" si="36"/>
        <v/>
      </c>
      <c r="G806" s="2" t="str">
        <f t="shared" si="37"/>
        <v/>
      </c>
      <c r="H806" s="2" t="str">
        <f>IF(A806="","",MIN('Loan Inputs'!$B$18,MAX(0,C806+E806-'Loan Inputs'!$B$17)))</f>
        <v/>
      </c>
    </row>
    <row r="807" spans="1:8" ht="22" customHeight="1">
      <c r="A807" s="1" t="str">
        <f>IF(AND('Loan Inputs'!$B$12,801&lt;=IF('Loan Inputs'!$B$12,'Loan Inputs'!$B$7,0)*'Loan Inputs'!$B$14+5*'Loan Inputs'!$B$14,ISNUMBER(G806),G806&gt;0),801,"")</f>
        <v/>
      </c>
      <c r="B807" s="4" t="str">
        <f>IF(A807="","",IF('Loan Inputs'!$B$14=12,DATE(YEAR('Loan Inputs'!$B$8),MONTH('Loan Inputs'!$B$8)+A807,DAY('Loan Inputs'!$B$8)),'Loan Inputs'!$B$8+A807*IF('Loan Inputs'!$B$14=26,14,7)))</f>
        <v/>
      </c>
      <c r="C807" s="2" t="str">
        <f t="shared" si="38"/>
        <v/>
      </c>
      <c r="D807" s="2" t="str">
        <f>IF(A807="","",MIN('Loan Inputs'!$B$17,C807+E807)+H807)</f>
        <v/>
      </c>
      <c r="E807" s="2" t="str">
        <f>IF(A807="","",C807*'Loan Inputs'!$B$15)</f>
        <v/>
      </c>
      <c r="F807" s="2" t="str">
        <f t="shared" si="36"/>
        <v/>
      </c>
      <c r="G807" s="2" t="str">
        <f t="shared" si="37"/>
        <v/>
      </c>
      <c r="H807" s="2" t="str">
        <f>IF(A807="","",MIN('Loan Inputs'!$B$18,MAX(0,C807+E807-'Loan Inputs'!$B$17)))</f>
        <v/>
      </c>
    </row>
    <row r="808" spans="1:8" ht="22" customHeight="1">
      <c r="A808" s="1" t="str">
        <f>IF(AND('Loan Inputs'!$B$12,802&lt;=IF('Loan Inputs'!$B$12,'Loan Inputs'!$B$7,0)*'Loan Inputs'!$B$14+5*'Loan Inputs'!$B$14,ISNUMBER(G807),G807&gt;0),802,"")</f>
        <v/>
      </c>
      <c r="B808" s="4" t="str">
        <f>IF(A808="","",IF('Loan Inputs'!$B$14=12,DATE(YEAR('Loan Inputs'!$B$8),MONTH('Loan Inputs'!$B$8)+A808,DAY('Loan Inputs'!$B$8)),'Loan Inputs'!$B$8+A808*IF('Loan Inputs'!$B$14=26,14,7)))</f>
        <v/>
      </c>
      <c r="C808" s="2" t="str">
        <f t="shared" si="38"/>
        <v/>
      </c>
      <c r="D808" s="2" t="str">
        <f>IF(A808="","",MIN('Loan Inputs'!$B$17,C808+E808)+H808)</f>
        <v/>
      </c>
      <c r="E808" s="2" t="str">
        <f>IF(A808="","",C808*'Loan Inputs'!$B$15)</f>
        <v/>
      </c>
      <c r="F808" s="2" t="str">
        <f t="shared" si="36"/>
        <v/>
      </c>
      <c r="G808" s="2" t="str">
        <f t="shared" si="37"/>
        <v/>
      </c>
      <c r="H808" s="2" t="str">
        <f>IF(A808="","",MIN('Loan Inputs'!$B$18,MAX(0,C808+E808-'Loan Inputs'!$B$17)))</f>
        <v/>
      </c>
    </row>
    <row r="809" spans="1:8" ht="22" customHeight="1">
      <c r="A809" s="1" t="str">
        <f>IF(AND('Loan Inputs'!$B$12,803&lt;=IF('Loan Inputs'!$B$12,'Loan Inputs'!$B$7,0)*'Loan Inputs'!$B$14+5*'Loan Inputs'!$B$14,ISNUMBER(G808),G808&gt;0),803,"")</f>
        <v/>
      </c>
      <c r="B809" s="4" t="str">
        <f>IF(A809="","",IF('Loan Inputs'!$B$14=12,DATE(YEAR('Loan Inputs'!$B$8),MONTH('Loan Inputs'!$B$8)+A809,DAY('Loan Inputs'!$B$8)),'Loan Inputs'!$B$8+A809*IF('Loan Inputs'!$B$14=26,14,7)))</f>
        <v/>
      </c>
      <c r="C809" s="2" t="str">
        <f t="shared" si="38"/>
        <v/>
      </c>
      <c r="D809" s="2" t="str">
        <f>IF(A809="","",MIN('Loan Inputs'!$B$17,C809+E809)+H809)</f>
        <v/>
      </c>
      <c r="E809" s="2" t="str">
        <f>IF(A809="","",C809*'Loan Inputs'!$B$15)</f>
        <v/>
      </c>
      <c r="F809" s="2" t="str">
        <f t="shared" si="36"/>
        <v/>
      </c>
      <c r="G809" s="2" t="str">
        <f t="shared" si="37"/>
        <v/>
      </c>
      <c r="H809" s="2" t="str">
        <f>IF(A809="","",MIN('Loan Inputs'!$B$18,MAX(0,C809+E809-'Loan Inputs'!$B$17)))</f>
        <v/>
      </c>
    </row>
    <row r="810" spans="1:8" ht="22" customHeight="1">
      <c r="A810" s="1" t="str">
        <f>IF(AND('Loan Inputs'!$B$12,804&lt;=IF('Loan Inputs'!$B$12,'Loan Inputs'!$B$7,0)*'Loan Inputs'!$B$14+5*'Loan Inputs'!$B$14,ISNUMBER(G809),G809&gt;0),804,"")</f>
        <v/>
      </c>
      <c r="B810" s="4" t="str">
        <f>IF(A810="","",IF('Loan Inputs'!$B$14=12,DATE(YEAR('Loan Inputs'!$B$8),MONTH('Loan Inputs'!$B$8)+A810,DAY('Loan Inputs'!$B$8)),'Loan Inputs'!$B$8+A810*IF('Loan Inputs'!$B$14=26,14,7)))</f>
        <v/>
      </c>
      <c r="C810" s="2" t="str">
        <f t="shared" si="38"/>
        <v/>
      </c>
      <c r="D810" s="2" t="str">
        <f>IF(A810="","",MIN('Loan Inputs'!$B$17,C810+E810)+H810)</f>
        <v/>
      </c>
      <c r="E810" s="2" t="str">
        <f>IF(A810="","",C810*'Loan Inputs'!$B$15)</f>
        <v/>
      </c>
      <c r="F810" s="2" t="str">
        <f t="shared" si="36"/>
        <v/>
      </c>
      <c r="G810" s="2" t="str">
        <f t="shared" si="37"/>
        <v/>
      </c>
      <c r="H810" s="2" t="str">
        <f>IF(A810="","",MIN('Loan Inputs'!$B$18,MAX(0,C810+E810-'Loan Inputs'!$B$17)))</f>
        <v/>
      </c>
    </row>
    <row r="811" spans="1:8" ht="22" customHeight="1">
      <c r="A811" s="1" t="str">
        <f>IF(AND('Loan Inputs'!$B$12,805&lt;=IF('Loan Inputs'!$B$12,'Loan Inputs'!$B$7,0)*'Loan Inputs'!$B$14+5*'Loan Inputs'!$B$14,ISNUMBER(G810),G810&gt;0),805,"")</f>
        <v/>
      </c>
      <c r="B811" s="4" t="str">
        <f>IF(A811="","",IF('Loan Inputs'!$B$14=12,DATE(YEAR('Loan Inputs'!$B$8),MONTH('Loan Inputs'!$B$8)+A811,DAY('Loan Inputs'!$B$8)),'Loan Inputs'!$B$8+A811*IF('Loan Inputs'!$B$14=26,14,7)))</f>
        <v/>
      </c>
      <c r="C811" s="2" t="str">
        <f t="shared" si="38"/>
        <v/>
      </c>
      <c r="D811" s="2" t="str">
        <f>IF(A811="","",MIN('Loan Inputs'!$B$17,C811+E811)+H811)</f>
        <v/>
      </c>
      <c r="E811" s="2" t="str">
        <f>IF(A811="","",C811*'Loan Inputs'!$B$15)</f>
        <v/>
      </c>
      <c r="F811" s="2" t="str">
        <f t="shared" si="36"/>
        <v/>
      </c>
      <c r="G811" s="2" t="str">
        <f t="shared" si="37"/>
        <v/>
      </c>
      <c r="H811" s="2" t="str">
        <f>IF(A811="","",MIN('Loan Inputs'!$B$18,MAX(0,C811+E811-'Loan Inputs'!$B$17)))</f>
        <v/>
      </c>
    </row>
    <row r="812" spans="1:8" ht="22" customHeight="1">
      <c r="A812" s="1" t="str">
        <f>IF(AND('Loan Inputs'!$B$12,806&lt;=IF('Loan Inputs'!$B$12,'Loan Inputs'!$B$7,0)*'Loan Inputs'!$B$14+5*'Loan Inputs'!$B$14,ISNUMBER(G811),G811&gt;0),806,"")</f>
        <v/>
      </c>
      <c r="B812" s="4" t="str">
        <f>IF(A812="","",IF('Loan Inputs'!$B$14=12,DATE(YEAR('Loan Inputs'!$B$8),MONTH('Loan Inputs'!$B$8)+A812,DAY('Loan Inputs'!$B$8)),'Loan Inputs'!$B$8+A812*IF('Loan Inputs'!$B$14=26,14,7)))</f>
        <v/>
      </c>
      <c r="C812" s="2" t="str">
        <f t="shared" si="38"/>
        <v/>
      </c>
      <c r="D812" s="2" t="str">
        <f>IF(A812="","",MIN('Loan Inputs'!$B$17,C812+E812)+H812)</f>
        <v/>
      </c>
      <c r="E812" s="2" t="str">
        <f>IF(A812="","",C812*'Loan Inputs'!$B$15)</f>
        <v/>
      </c>
      <c r="F812" s="2" t="str">
        <f t="shared" si="36"/>
        <v/>
      </c>
      <c r="G812" s="2" t="str">
        <f t="shared" si="37"/>
        <v/>
      </c>
      <c r="H812" s="2" t="str">
        <f>IF(A812="","",MIN('Loan Inputs'!$B$18,MAX(0,C812+E812-'Loan Inputs'!$B$17)))</f>
        <v/>
      </c>
    </row>
    <row r="813" spans="1:8" ht="22" customHeight="1">
      <c r="A813" s="1" t="str">
        <f>IF(AND('Loan Inputs'!$B$12,807&lt;=IF('Loan Inputs'!$B$12,'Loan Inputs'!$B$7,0)*'Loan Inputs'!$B$14+5*'Loan Inputs'!$B$14,ISNUMBER(G812),G812&gt;0),807,"")</f>
        <v/>
      </c>
      <c r="B813" s="4" t="str">
        <f>IF(A813="","",IF('Loan Inputs'!$B$14=12,DATE(YEAR('Loan Inputs'!$B$8),MONTH('Loan Inputs'!$B$8)+A813,DAY('Loan Inputs'!$B$8)),'Loan Inputs'!$B$8+A813*IF('Loan Inputs'!$B$14=26,14,7)))</f>
        <v/>
      </c>
      <c r="C813" s="2" t="str">
        <f t="shared" si="38"/>
        <v/>
      </c>
      <c r="D813" s="2" t="str">
        <f>IF(A813="","",MIN('Loan Inputs'!$B$17,C813+E813)+H813)</f>
        <v/>
      </c>
      <c r="E813" s="2" t="str">
        <f>IF(A813="","",C813*'Loan Inputs'!$B$15)</f>
        <v/>
      </c>
      <c r="F813" s="2" t="str">
        <f t="shared" si="36"/>
        <v/>
      </c>
      <c r="G813" s="2" t="str">
        <f t="shared" si="37"/>
        <v/>
      </c>
      <c r="H813" s="2" t="str">
        <f>IF(A813="","",MIN('Loan Inputs'!$B$18,MAX(0,C813+E813-'Loan Inputs'!$B$17)))</f>
        <v/>
      </c>
    </row>
    <row r="814" spans="1:8" ht="22" customHeight="1">
      <c r="A814" s="1" t="str">
        <f>IF(AND('Loan Inputs'!$B$12,808&lt;=IF('Loan Inputs'!$B$12,'Loan Inputs'!$B$7,0)*'Loan Inputs'!$B$14+5*'Loan Inputs'!$B$14,ISNUMBER(G813),G813&gt;0),808,"")</f>
        <v/>
      </c>
      <c r="B814" s="4" t="str">
        <f>IF(A814="","",IF('Loan Inputs'!$B$14=12,DATE(YEAR('Loan Inputs'!$B$8),MONTH('Loan Inputs'!$B$8)+A814,DAY('Loan Inputs'!$B$8)),'Loan Inputs'!$B$8+A814*IF('Loan Inputs'!$B$14=26,14,7)))</f>
        <v/>
      </c>
      <c r="C814" s="2" t="str">
        <f t="shared" si="38"/>
        <v/>
      </c>
      <c r="D814" s="2" t="str">
        <f>IF(A814="","",MIN('Loan Inputs'!$B$17,C814+E814)+H814)</f>
        <v/>
      </c>
      <c r="E814" s="2" t="str">
        <f>IF(A814="","",C814*'Loan Inputs'!$B$15)</f>
        <v/>
      </c>
      <c r="F814" s="2" t="str">
        <f t="shared" si="36"/>
        <v/>
      </c>
      <c r="G814" s="2" t="str">
        <f t="shared" si="37"/>
        <v/>
      </c>
      <c r="H814" s="2" t="str">
        <f>IF(A814="","",MIN('Loan Inputs'!$B$18,MAX(0,C814+E814-'Loan Inputs'!$B$17)))</f>
        <v/>
      </c>
    </row>
    <row r="815" spans="1:8" ht="22" customHeight="1">
      <c r="A815" s="1" t="str">
        <f>IF(AND('Loan Inputs'!$B$12,809&lt;=IF('Loan Inputs'!$B$12,'Loan Inputs'!$B$7,0)*'Loan Inputs'!$B$14+5*'Loan Inputs'!$B$14,ISNUMBER(G814),G814&gt;0),809,"")</f>
        <v/>
      </c>
      <c r="B815" s="4" t="str">
        <f>IF(A815="","",IF('Loan Inputs'!$B$14=12,DATE(YEAR('Loan Inputs'!$B$8),MONTH('Loan Inputs'!$B$8)+A815,DAY('Loan Inputs'!$B$8)),'Loan Inputs'!$B$8+A815*IF('Loan Inputs'!$B$14=26,14,7)))</f>
        <v/>
      </c>
      <c r="C815" s="2" t="str">
        <f t="shared" si="38"/>
        <v/>
      </c>
      <c r="D815" s="2" t="str">
        <f>IF(A815="","",MIN('Loan Inputs'!$B$17,C815+E815)+H815)</f>
        <v/>
      </c>
      <c r="E815" s="2" t="str">
        <f>IF(A815="","",C815*'Loan Inputs'!$B$15)</f>
        <v/>
      </c>
      <c r="F815" s="2" t="str">
        <f t="shared" si="36"/>
        <v/>
      </c>
      <c r="G815" s="2" t="str">
        <f t="shared" si="37"/>
        <v/>
      </c>
      <c r="H815" s="2" t="str">
        <f>IF(A815="","",MIN('Loan Inputs'!$B$18,MAX(0,C815+E815-'Loan Inputs'!$B$17)))</f>
        <v/>
      </c>
    </row>
    <row r="816" spans="1:8" ht="22" customHeight="1">
      <c r="A816" s="1" t="str">
        <f>IF(AND('Loan Inputs'!$B$12,810&lt;=IF('Loan Inputs'!$B$12,'Loan Inputs'!$B$7,0)*'Loan Inputs'!$B$14+5*'Loan Inputs'!$B$14,ISNUMBER(G815),G815&gt;0),810,"")</f>
        <v/>
      </c>
      <c r="B816" s="4" t="str">
        <f>IF(A816="","",IF('Loan Inputs'!$B$14=12,DATE(YEAR('Loan Inputs'!$B$8),MONTH('Loan Inputs'!$B$8)+A816,DAY('Loan Inputs'!$B$8)),'Loan Inputs'!$B$8+A816*IF('Loan Inputs'!$B$14=26,14,7)))</f>
        <v/>
      </c>
      <c r="C816" s="2" t="str">
        <f t="shared" si="38"/>
        <v/>
      </c>
      <c r="D816" s="2" t="str">
        <f>IF(A816="","",MIN('Loan Inputs'!$B$17,C816+E816)+H816)</f>
        <v/>
      </c>
      <c r="E816" s="2" t="str">
        <f>IF(A816="","",C816*'Loan Inputs'!$B$15)</f>
        <v/>
      </c>
      <c r="F816" s="2" t="str">
        <f t="shared" si="36"/>
        <v/>
      </c>
      <c r="G816" s="2" t="str">
        <f t="shared" si="37"/>
        <v/>
      </c>
      <c r="H816" s="2" t="str">
        <f>IF(A816="","",MIN('Loan Inputs'!$B$18,MAX(0,C816+E816-'Loan Inputs'!$B$17)))</f>
        <v/>
      </c>
    </row>
    <row r="817" spans="1:8" ht="22" customHeight="1">
      <c r="A817" s="1" t="str">
        <f>IF(AND('Loan Inputs'!$B$12,811&lt;=IF('Loan Inputs'!$B$12,'Loan Inputs'!$B$7,0)*'Loan Inputs'!$B$14+5*'Loan Inputs'!$B$14,ISNUMBER(G816),G816&gt;0),811,"")</f>
        <v/>
      </c>
      <c r="B817" s="4" t="str">
        <f>IF(A817="","",IF('Loan Inputs'!$B$14=12,DATE(YEAR('Loan Inputs'!$B$8),MONTH('Loan Inputs'!$B$8)+A817,DAY('Loan Inputs'!$B$8)),'Loan Inputs'!$B$8+A817*IF('Loan Inputs'!$B$14=26,14,7)))</f>
        <v/>
      </c>
      <c r="C817" s="2" t="str">
        <f t="shared" si="38"/>
        <v/>
      </c>
      <c r="D817" s="2" t="str">
        <f>IF(A817="","",MIN('Loan Inputs'!$B$17,C817+E817)+H817)</f>
        <v/>
      </c>
      <c r="E817" s="2" t="str">
        <f>IF(A817="","",C817*'Loan Inputs'!$B$15)</f>
        <v/>
      </c>
      <c r="F817" s="2" t="str">
        <f t="shared" si="36"/>
        <v/>
      </c>
      <c r="G817" s="2" t="str">
        <f t="shared" si="37"/>
        <v/>
      </c>
      <c r="H817" s="2" t="str">
        <f>IF(A817="","",MIN('Loan Inputs'!$B$18,MAX(0,C817+E817-'Loan Inputs'!$B$17)))</f>
        <v/>
      </c>
    </row>
    <row r="818" spans="1:8" ht="22" customHeight="1">
      <c r="A818" s="1" t="str">
        <f>IF(AND('Loan Inputs'!$B$12,812&lt;=IF('Loan Inputs'!$B$12,'Loan Inputs'!$B$7,0)*'Loan Inputs'!$B$14+5*'Loan Inputs'!$B$14,ISNUMBER(G817),G817&gt;0),812,"")</f>
        <v/>
      </c>
      <c r="B818" s="4" t="str">
        <f>IF(A818="","",IF('Loan Inputs'!$B$14=12,DATE(YEAR('Loan Inputs'!$B$8),MONTH('Loan Inputs'!$B$8)+A818,DAY('Loan Inputs'!$B$8)),'Loan Inputs'!$B$8+A818*IF('Loan Inputs'!$B$14=26,14,7)))</f>
        <v/>
      </c>
      <c r="C818" s="2" t="str">
        <f t="shared" si="38"/>
        <v/>
      </c>
      <c r="D818" s="2" t="str">
        <f>IF(A818="","",MIN('Loan Inputs'!$B$17,C818+E818)+H818)</f>
        <v/>
      </c>
      <c r="E818" s="2" t="str">
        <f>IF(A818="","",C818*'Loan Inputs'!$B$15)</f>
        <v/>
      </c>
      <c r="F818" s="2" t="str">
        <f t="shared" si="36"/>
        <v/>
      </c>
      <c r="G818" s="2" t="str">
        <f t="shared" si="37"/>
        <v/>
      </c>
      <c r="H818" s="2" t="str">
        <f>IF(A818="","",MIN('Loan Inputs'!$B$18,MAX(0,C818+E818-'Loan Inputs'!$B$17)))</f>
        <v/>
      </c>
    </row>
    <row r="819" spans="1:8" ht="22" customHeight="1">
      <c r="A819" s="1" t="str">
        <f>IF(AND('Loan Inputs'!$B$12,813&lt;=IF('Loan Inputs'!$B$12,'Loan Inputs'!$B$7,0)*'Loan Inputs'!$B$14+5*'Loan Inputs'!$B$14,ISNUMBER(G818),G818&gt;0),813,"")</f>
        <v/>
      </c>
      <c r="B819" s="4" t="str">
        <f>IF(A819="","",IF('Loan Inputs'!$B$14=12,DATE(YEAR('Loan Inputs'!$B$8),MONTH('Loan Inputs'!$B$8)+A819,DAY('Loan Inputs'!$B$8)),'Loan Inputs'!$B$8+A819*IF('Loan Inputs'!$B$14=26,14,7)))</f>
        <v/>
      </c>
      <c r="C819" s="2" t="str">
        <f t="shared" si="38"/>
        <v/>
      </c>
      <c r="D819" s="2" t="str">
        <f>IF(A819="","",MIN('Loan Inputs'!$B$17,C819+E819)+H819)</f>
        <v/>
      </c>
      <c r="E819" s="2" t="str">
        <f>IF(A819="","",C819*'Loan Inputs'!$B$15)</f>
        <v/>
      </c>
      <c r="F819" s="2" t="str">
        <f t="shared" si="36"/>
        <v/>
      </c>
      <c r="G819" s="2" t="str">
        <f t="shared" si="37"/>
        <v/>
      </c>
      <c r="H819" s="2" t="str">
        <f>IF(A819="","",MIN('Loan Inputs'!$B$18,MAX(0,C819+E819-'Loan Inputs'!$B$17)))</f>
        <v/>
      </c>
    </row>
    <row r="820" spans="1:8" ht="22" customHeight="1">
      <c r="A820" s="1" t="str">
        <f>IF(AND('Loan Inputs'!$B$12,814&lt;=IF('Loan Inputs'!$B$12,'Loan Inputs'!$B$7,0)*'Loan Inputs'!$B$14+5*'Loan Inputs'!$B$14,ISNUMBER(G819),G819&gt;0),814,"")</f>
        <v/>
      </c>
      <c r="B820" s="4" t="str">
        <f>IF(A820="","",IF('Loan Inputs'!$B$14=12,DATE(YEAR('Loan Inputs'!$B$8),MONTH('Loan Inputs'!$B$8)+A820,DAY('Loan Inputs'!$B$8)),'Loan Inputs'!$B$8+A820*IF('Loan Inputs'!$B$14=26,14,7)))</f>
        <v/>
      </c>
      <c r="C820" s="2" t="str">
        <f t="shared" si="38"/>
        <v/>
      </c>
      <c r="D820" s="2" t="str">
        <f>IF(A820="","",MIN('Loan Inputs'!$B$17,C820+E820)+H820)</f>
        <v/>
      </c>
      <c r="E820" s="2" t="str">
        <f>IF(A820="","",C820*'Loan Inputs'!$B$15)</f>
        <v/>
      </c>
      <c r="F820" s="2" t="str">
        <f t="shared" si="36"/>
        <v/>
      </c>
      <c r="G820" s="2" t="str">
        <f t="shared" si="37"/>
        <v/>
      </c>
      <c r="H820" s="2" t="str">
        <f>IF(A820="","",MIN('Loan Inputs'!$B$18,MAX(0,C820+E820-'Loan Inputs'!$B$17)))</f>
        <v/>
      </c>
    </row>
    <row r="821" spans="1:8" ht="22" customHeight="1">
      <c r="A821" s="1" t="str">
        <f>IF(AND('Loan Inputs'!$B$12,815&lt;=IF('Loan Inputs'!$B$12,'Loan Inputs'!$B$7,0)*'Loan Inputs'!$B$14+5*'Loan Inputs'!$B$14,ISNUMBER(G820),G820&gt;0),815,"")</f>
        <v/>
      </c>
      <c r="B821" s="4" t="str">
        <f>IF(A821="","",IF('Loan Inputs'!$B$14=12,DATE(YEAR('Loan Inputs'!$B$8),MONTH('Loan Inputs'!$B$8)+A821,DAY('Loan Inputs'!$B$8)),'Loan Inputs'!$B$8+A821*IF('Loan Inputs'!$B$14=26,14,7)))</f>
        <v/>
      </c>
      <c r="C821" s="2" t="str">
        <f t="shared" si="38"/>
        <v/>
      </c>
      <c r="D821" s="2" t="str">
        <f>IF(A821="","",MIN('Loan Inputs'!$B$17,C821+E821)+H821)</f>
        <v/>
      </c>
      <c r="E821" s="2" t="str">
        <f>IF(A821="","",C821*'Loan Inputs'!$B$15)</f>
        <v/>
      </c>
      <c r="F821" s="2" t="str">
        <f t="shared" si="36"/>
        <v/>
      </c>
      <c r="G821" s="2" t="str">
        <f t="shared" si="37"/>
        <v/>
      </c>
      <c r="H821" s="2" t="str">
        <f>IF(A821="","",MIN('Loan Inputs'!$B$18,MAX(0,C821+E821-'Loan Inputs'!$B$17)))</f>
        <v/>
      </c>
    </row>
    <row r="822" spans="1:8" ht="22" customHeight="1">
      <c r="A822" s="1" t="str">
        <f>IF(AND('Loan Inputs'!$B$12,816&lt;=IF('Loan Inputs'!$B$12,'Loan Inputs'!$B$7,0)*'Loan Inputs'!$B$14+5*'Loan Inputs'!$B$14,ISNUMBER(G821),G821&gt;0),816,"")</f>
        <v/>
      </c>
      <c r="B822" s="4" t="str">
        <f>IF(A822="","",IF('Loan Inputs'!$B$14=12,DATE(YEAR('Loan Inputs'!$B$8),MONTH('Loan Inputs'!$B$8)+A822,DAY('Loan Inputs'!$B$8)),'Loan Inputs'!$B$8+A822*IF('Loan Inputs'!$B$14=26,14,7)))</f>
        <v/>
      </c>
      <c r="C822" s="2" t="str">
        <f t="shared" si="38"/>
        <v/>
      </c>
      <c r="D822" s="2" t="str">
        <f>IF(A822="","",MIN('Loan Inputs'!$B$17,C822+E822)+H822)</f>
        <v/>
      </c>
      <c r="E822" s="2" t="str">
        <f>IF(A822="","",C822*'Loan Inputs'!$B$15)</f>
        <v/>
      </c>
      <c r="F822" s="2" t="str">
        <f t="shared" si="36"/>
        <v/>
      </c>
      <c r="G822" s="2" t="str">
        <f t="shared" si="37"/>
        <v/>
      </c>
      <c r="H822" s="2" t="str">
        <f>IF(A822="","",MIN('Loan Inputs'!$B$18,MAX(0,C822+E822-'Loan Inputs'!$B$17)))</f>
        <v/>
      </c>
    </row>
    <row r="823" spans="1:8" ht="22" customHeight="1">
      <c r="A823" s="1" t="str">
        <f>IF(AND('Loan Inputs'!$B$12,817&lt;=IF('Loan Inputs'!$B$12,'Loan Inputs'!$B$7,0)*'Loan Inputs'!$B$14+5*'Loan Inputs'!$B$14,ISNUMBER(G822),G822&gt;0),817,"")</f>
        <v/>
      </c>
      <c r="B823" s="4" t="str">
        <f>IF(A823="","",IF('Loan Inputs'!$B$14=12,DATE(YEAR('Loan Inputs'!$B$8),MONTH('Loan Inputs'!$B$8)+A823,DAY('Loan Inputs'!$B$8)),'Loan Inputs'!$B$8+A823*IF('Loan Inputs'!$B$14=26,14,7)))</f>
        <v/>
      </c>
      <c r="C823" s="2" t="str">
        <f t="shared" si="38"/>
        <v/>
      </c>
      <c r="D823" s="2" t="str">
        <f>IF(A823="","",MIN('Loan Inputs'!$B$17,C823+E823)+H823)</f>
        <v/>
      </c>
      <c r="E823" s="2" t="str">
        <f>IF(A823="","",C823*'Loan Inputs'!$B$15)</f>
        <v/>
      </c>
      <c r="F823" s="2" t="str">
        <f t="shared" si="36"/>
        <v/>
      </c>
      <c r="G823" s="2" t="str">
        <f t="shared" si="37"/>
        <v/>
      </c>
      <c r="H823" s="2" t="str">
        <f>IF(A823="","",MIN('Loan Inputs'!$B$18,MAX(0,C823+E823-'Loan Inputs'!$B$17)))</f>
        <v/>
      </c>
    </row>
    <row r="824" spans="1:8" ht="22" customHeight="1">
      <c r="A824" s="1" t="str">
        <f>IF(AND('Loan Inputs'!$B$12,818&lt;=IF('Loan Inputs'!$B$12,'Loan Inputs'!$B$7,0)*'Loan Inputs'!$B$14+5*'Loan Inputs'!$B$14,ISNUMBER(G823),G823&gt;0),818,"")</f>
        <v/>
      </c>
      <c r="B824" s="4" t="str">
        <f>IF(A824="","",IF('Loan Inputs'!$B$14=12,DATE(YEAR('Loan Inputs'!$B$8),MONTH('Loan Inputs'!$B$8)+A824,DAY('Loan Inputs'!$B$8)),'Loan Inputs'!$B$8+A824*IF('Loan Inputs'!$B$14=26,14,7)))</f>
        <v/>
      </c>
      <c r="C824" s="2" t="str">
        <f t="shared" si="38"/>
        <v/>
      </c>
      <c r="D824" s="2" t="str">
        <f>IF(A824="","",MIN('Loan Inputs'!$B$17,C824+E824)+H824)</f>
        <v/>
      </c>
      <c r="E824" s="2" t="str">
        <f>IF(A824="","",C824*'Loan Inputs'!$B$15)</f>
        <v/>
      </c>
      <c r="F824" s="2" t="str">
        <f t="shared" si="36"/>
        <v/>
      </c>
      <c r="G824" s="2" t="str">
        <f t="shared" si="37"/>
        <v/>
      </c>
      <c r="H824" s="2" t="str">
        <f>IF(A824="","",MIN('Loan Inputs'!$B$18,MAX(0,C824+E824-'Loan Inputs'!$B$17)))</f>
        <v/>
      </c>
    </row>
    <row r="825" spans="1:8" ht="22" customHeight="1">
      <c r="A825" s="1" t="str">
        <f>IF(AND('Loan Inputs'!$B$12,819&lt;=IF('Loan Inputs'!$B$12,'Loan Inputs'!$B$7,0)*'Loan Inputs'!$B$14+5*'Loan Inputs'!$B$14,ISNUMBER(G824),G824&gt;0),819,"")</f>
        <v/>
      </c>
      <c r="B825" s="4" t="str">
        <f>IF(A825="","",IF('Loan Inputs'!$B$14=12,DATE(YEAR('Loan Inputs'!$B$8),MONTH('Loan Inputs'!$B$8)+A825,DAY('Loan Inputs'!$B$8)),'Loan Inputs'!$B$8+A825*IF('Loan Inputs'!$B$14=26,14,7)))</f>
        <v/>
      </c>
      <c r="C825" s="2" t="str">
        <f t="shared" si="38"/>
        <v/>
      </c>
      <c r="D825" s="2" t="str">
        <f>IF(A825="","",MIN('Loan Inputs'!$B$17,C825+E825)+H825)</f>
        <v/>
      </c>
      <c r="E825" s="2" t="str">
        <f>IF(A825="","",C825*'Loan Inputs'!$B$15)</f>
        <v/>
      </c>
      <c r="F825" s="2" t="str">
        <f t="shared" si="36"/>
        <v/>
      </c>
      <c r="G825" s="2" t="str">
        <f t="shared" si="37"/>
        <v/>
      </c>
      <c r="H825" s="2" t="str">
        <f>IF(A825="","",MIN('Loan Inputs'!$B$18,MAX(0,C825+E825-'Loan Inputs'!$B$17)))</f>
        <v/>
      </c>
    </row>
    <row r="826" spans="1:8" ht="22" customHeight="1">
      <c r="A826" s="1" t="str">
        <f>IF(AND('Loan Inputs'!$B$12,820&lt;=IF('Loan Inputs'!$B$12,'Loan Inputs'!$B$7,0)*'Loan Inputs'!$B$14+5*'Loan Inputs'!$B$14,ISNUMBER(G825),G825&gt;0),820,"")</f>
        <v/>
      </c>
      <c r="B826" s="4" t="str">
        <f>IF(A826="","",IF('Loan Inputs'!$B$14=12,DATE(YEAR('Loan Inputs'!$B$8),MONTH('Loan Inputs'!$B$8)+A826,DAY('Loan Inputs'!$B$8)),'Loan Inputs'!$B$8+A826*IF('Loan Inputs'!$B$14=26,14,7)))</f>
        <v/>
      </c>
      <c r="C826" s="2" t="str">
        <f t="shared" si="38"/>
        <v/>
      </c>
      <c r="D826" s="2" t="str">
        <f>IF(A826="","",MIN('Loan Inputs'!$B$17,C826+E826)+H826)</f>
        <v/>
      </c>
      <c r="E826" s="2" t="str">
        <f>IF(A826="","",C826*'Loan Inputs'!$B$15)</f>
        <v/>
      </c>
      <c r="F826" s="2" t="str">
        <f t="shared" si="36"/>
        <v/>
      </c>
      <c r="G826" s="2" t="str">
        <f t="shared" si="37"/>
        <v/>
      </c>
      <c r="H826" s="2" t="str">
        <f>IF(A826="","",MIN('Loan Inputs'!$B$18,MAX(0,C826+E826-'Loan Inputs'!$B$17)))</f>
        <v/>
      </c>
    </row>
    <row r="827" spans="1:8" ht="22" customHeight="1">
      <c r="A827" s="1" t="str">
        <f>IF(AND('Loan Inputs'!$B$12,821&lt;=IF('Loan Inputs'!$B$12,'Loan Inputs'!$B$7,0)*'Loan Inputs'!$B$14+5*'Loan Inputs'!$B$14,ISNUMBER(G826),G826&gt;0),821,"")</f>
        <v/>
      </c>
      <c r="B827" s="4" t="str">
        <f>IF(A827="","",IF('Loan Inputs'!$B$14=12,DATE(YEAR('Loan Inputs'!$B$8),MONTH('Loan Inputs'!$B$8)+A827,DAY('Loan Inputs'!$B$8)),'Loan Inputs'!$B$8+A827*IF('Loan Inputs'!$B$14=26,14,7)))</f>
        <v/>
      </c>
      <c r="C827" s="2" t="str">
        <f t="shared" si="38"/>
        <v/>
      </c>
      <c r="D827" s="2" t="str">
        <f>IF(A827="","",MIN('Loan Inputs'!$B$17,C827+E827)+H827)</f>
        <v/>
      </c>
      <c r="E827" s="2" t="str">
        <f>IF(A827="","",C827*'Loan Inputs'!$B$15)</f>
        <v/>
      </c>
      <c r="F827" s="2" t="str">
        <f t="shared" si="36"/>
        <v/>
      </c>
      <c r="G827" s="2" t="str">
        <f t="shared" si="37"/>
        <v/>
      </c>
      <c r="H827" s="2" t="str">
        <f>IF(A827="","",MIN('Loan Inputs'!$B$18,MAX(0,C827+E827-'Loan Inputs'!$B$17)))</f>
        <v/>
      </c>
    </row>
    <row r="828" spans="1:8" ht="22" customHeight="1">
      <c r="A828" s="1" t="str">
        <f>IF(AND('Loan Inputs'!$B$12,822&lt;=IF('Loan Inputs'!$B$12,'Loan Inputs'!$B$7,0)*'Loan Inputs'!$B$14+5*'Loan Inputs'!$B$14,ISNUMBER(G827),G827&gt;0),822,"")</f>
        <v/>
      </c>
      <c r="B828" s="4" t="str">
        <f>IF(A828="","",IF('Loan Inputs'!$B$14=12,DATE(YEAR('Loan Inputs'!$B$8),MONTH('Loan Inputs'!$B$8)+A828,DAY('Loan Inputs'!$B$8)),'Loan Inputs'!$B$8+A828*IF('Loan Inputs'!$B$14=26,14,7)))</f>
        <v/>
      </c>
      <c r="C828" s="2" t="str">
        <f t="shared" si="38"/>
        <v/>
      </c>
      <c r="D828" s="2" t="str">
        <f>IF(A828="","",MIN('Loan Inputs'!$B$17,C828+E828)+H828)</f>
        <v/>
      </c>
      <c r="E828" s="2" t="str">
        <f>IF(A828="","",C828*'Loan Inputs'!$B$15)</f>
        <v/>
      </c>
      <c r="F828" s="2" t="str">
        <f t="shared" si="36"/>
        <v/>
      </c>
      <c r="G828" s="2" t="str">
        <f t="shared" si="37"/>
        <v/>
      </c>
      <c r="H828" s="2" t="str">
        <f>IF(A828="","",MIN('Loan Inputs'!$B$18,MAX(0,C828+E828-'Loan Inputs'!$B$17)))</f>
        <v/>
      </c>
    </row>
    <row r="829" spans="1:8" ht="22" customHeight="1">
      <c r="A829" s="1" t="str">
        <f>IF(AND('Loan Inputs'!$B$12,823&lt;=IF('Loan Inputs'!$B$12,'Loan Inputs'!$B$7,0)*'Loan Inputs'!$B$14+5*'Loan Inputs'!$B$14,ISNUMBER(G828),G828&gt;0),823,"")</f>
        <v/>
      </c>
      <c r="B829" s="4" t="str">
        <f>IF(A829="","",IF('Loan Inputs'!$B$14=12,DATE(YEAR('Loan Inputs'!$B$8),MONTH('Loan Inputs'!$B$8)+A829,DAY('Loan Inputs'!$B$8)),'Loan Inputs'!$B$8+A829*IF('Loan Inputs'!$B$14=26,14,7)))</f>
        <v/>
      </c>
      <c r="C829" s="2" t="str">
        <f t="shared" si="38"/>
        <v/>
      </c>
      <c r="D829" s="2" t="str">
        <f>IF(A829="","",MIN('Loan Inputs'!$B$17,C829+E829)+H829)</f>
        <v/>
      </c>
      <c r="E829" s="2" t="str">
        <f>IF(A829="","",C829*'Loan Inputs'!$B$15)</f>
        <v/>
      </c>
      <c r="F829" s="2" t="str">
        <f t="shared" si="36"/>
        <v/>
      </c>
      <c r="G829" s="2" t="str">
        <f t="shared" si="37"/>
        <v/>
      </c>
      <c r="H829" s="2" t="str">
        <f>IF(A829="","",MIN('Loan Inputs'!$B$18,MAX(0,C829+E829-'Loan Inputs'!$B$17)))</f>
        <v/>
      </c>
    </row>
    <row r="830" spans="1:8" ht="22" customHeight="1">
      <c r="A830" s="1" t="str">
        <f>IF(AND('Loan Inputs'!$B$12,824&lt;=IF('Loan Inputs'!$B$12,'Loan Inputs'!$B$7,0)*'Loan Inputs'!$B$14+5*'Loan Inputs'!$B$14,ISNUMBER(G829),G829&gt;0),824,"")</f>
        <v/>
      </c>
      <c r="B830" s="4" t="str">
        <f>IF(A830="","",IF('Loan Inputs'!$B$14=12,DATE(YEAR('Loan Inputs'!$B$8),MONTH('Loan Inputs'!$B$8)+A830,DAY('Loan Inputs'!$B$8)),'Loan Inputs'!$B$8+A830*IF('Loan Inputs'!$B$14=26,14,7)))</f>
        <v/>
      </c>
      <c r="C830" s="2" t="str">
        <f t="shared" si="38"/>
        <v/>
      </c>
      <c r="D830" s="2" t="str">
        <f>IF(A830="","",MIN('Loan Inputs'!$B$17,C830+E830)+H830)</f>
        <v/>
      </c>
      <c r="E830" s="2" t="str">
        <f>IF(A830="","",C830*'Loan Inputs'!$B$15)</f>
        <v/>
      </c>
      <c r="F830" s="2" t="str">
        <f t="shared" si="36"/>
        <v/>
      </c>
      <c r="G830" s="2" t="str">
        <f t="shared" si="37"/>
        <v/>
      </c>
      <c r="H830" s="2" t="str">
        <f>IF(A830="","",MIN('Loan Inputs'!$B$18,MAX(0,C830+E830-'Loan Inputs'!$B$17)))</f>
        <v/>
      </c>
    </row>
    <row r="831" spans="1:8" ht="22" customHeight="1">
      <c r="A831" s="1" t="str">
        <f>IF(AND('Loan Inputs'!$B$12,825&lt;=IF('Loan Inputs'!$B$12,'Loan Inputs'!$B$7,0)*'Loan Inputs'!$B$14+5*'Loan Inputs'!$B$14,ISNUMBER(G830),G830&gt;0),825,"")</f>
        <v/>
      </c>
      <c r="B831" s="4" t="str">
        <f>IF(A831="","",IF('Loan Inputs'!$B$14=12,DATE(YEAR('Loan Inputs'!$B$8),MONTH('Loan Inputs'!$B$8)+A831,DAY('Loan Inputs'!$B$8)),'Loan Inputs'!$B$8+A831*IF('Loan Inputs'!$B$14=26,14,7)))</f>
        <v/>
      </c>
      <c r="C831" s="2" t="str">
        <f t="shared" si="38"/>
        <v/>
      </c>
      <c r="D831" s="2" t="str">
        <f>IF(A831="","",MIN('Loan Inputs'!$B$17,C831+E831)+H831)</f>
        <v/>
      </c>
      <c r="E831" s="2" t="str">
        <f>IF(A831="","",C831*'Loan Inputs'!$B$15)</f>
        <v/>
      </c>
      <c r="F831" s="2" t="str">
        <f t="shared" si="36"/>
        <v/>
      </c>
      <c r="G831" s="2" t="str">
        <f t="shared" si="37"/>
        <v/>
      </c>
      <c r="H831" s="2" t="str">
        <f>IF(A831="","",MIN('Loan Inputs'!$B$18,MAX(0,C831+E831-'Loan Inputs'!$B$17)))</f>
        <v/>
      </c>
    </row>
    <row r="832" spans="1:8" ht="22" customHeight="1">
      <c r="A832" s="1" t="str">
        <f>IF(AND('Loan Inputs'!$B$12,826&lt;=IF('Loan Inputs'!$B$12,'Loan Inputs'!$B$7,0)*'Loan Inputs'!$B$14+5*'Loan Inputs'!$B$14,ISNUMBER(G831),G831&gt;0),826,"")</f>
        <v/>
      </c>
      <c r="B832" s="4" t="str">
        <f>IF(A832="","",IF('Loan Inputs'!$B$14=12,DATE(YEAR('Loan Inputs'!$B$8),MONTH('Loan Inputs'!$B$8)+A832,DAY('Loan Inputs'!$B$8)),'Loan Inputs'!$B$8+A832*IF('Loan Inputs'!$B$14=26,14,7)))</f>
        <v/>
      </c>
      <c r="C832" s="2" t="str">
        <f t="shared" si="38"/>
        <v/>
      </c>
      <c r="D832" s="2" t="str">
        <f>IF(A832="","",MIN('Loan Inputs'!$B$17,C832+E832)+H832)</f>
        <v/>
      </c>
      <c r="E832" s="2" t="str">
        <f>IF(A832="","",C832*'Loan Inputs'!$B$15)</f>
        <v/>
      </c>
      <c r="F832" s="2" t="str">
        <f t="shared" si="36"/>
        <v/>
      </c>
      <c r="G832" s="2" t="str">
        <f t="shared" si="37"/>
        <v/>
      </c>
      <c r="H832" s="2" t="str">
        <f>IF(A832="","",MIN('Loan Inputs'!$B$18,MAX(0,C832+E832-'Loan Inputs'!$B$17)))</f>
        <v/>
      </c>
    </row>
    <row r="833" spans="1:8" ht="22" customHeight="1">
      <c r="A833" s="1" t="str">
        <f>IF(AND('Loan Inputs'!$B$12,827&lt;=IF('Loan Inputs'!$B$12,'Loan Inputs'!$B$7,0)*'Loan Inputs'!$B$14+5*'Loan Inputs'!$B$14,ISNUMBER(G832),G832&gt;0),827,"")</f>
        <v/>
      </c>
      <c r="B833" s="4" t="str">
        <f>IF(A833="","",IF('Loan Inputs'!$B$14=12,DATE(YEAR('Loan Inputs'!$B$8),MONTH('Loan Inputs'!$B$8)+A833,DAY('Loan Inputs'!$B$8)),'Loan Inputs'!$B$8+A833*IF('Loan Inputs'!$B$14=26,14,7)))</f>
        <v/>
      </c>
      <c r="C833" s="2" t="str">
        <f t="shared" si="38"/>
        <v/>
      </c>
      <c r="D833" s="2" t="str">
        <f>IF(A833="","",MIN('Loan Inputs'!$B$17,C833+E833)+H833)</f>
        <v/>
      </c>
      <c r="E833" s="2" t="str">
        <f>IF(A833="","",C833*'Loan Inputs'!$B$15)</f>
        <v/>
      </c>
      <c r="F833" s="2" t="str">
        <f t="shared" si="36"/>
        <v/>
      </c>
      <c r="G833" s="2" t="str">
        <f t="shared" si="37"/>
        <v/>
      </c>
      <c r="H833" s="2" t="str">
        <f>IF(A833="","",MIN('Loan Inputs'!$B$18,MAX(0,C833+E833-'Loan Inputs'!$B$17)))</f>
        <v/>
      </c>
    </row>
    <row r="834" spans="1:8" ht="22" customHeight="1">
      <c r="A834" s="1" t="str">
        <f>IF(AND('Loan Inputs'!$B$12,828&lt;=IF('Loan Inputs'!$B$12,'Loan Inputs'!$B$7,0)*'Loan Inputs'!$B$14+5*'Loan Inputs'!$B$14,ISNUMBER(G833),G833&gt;0),828,"")</f>
        <v/>
      </c>
      <c r="B834" s="4" t="str">
        <f>IF(A834="","",IF('Loan Inputs'!$B$14=12,DATE(YEAR('Loan Inputs'!$B$8),MONTH('Loan Inputs'!$B$8)+A834,DAY('Loan Inputs'!$B$8)),'Loan Inputs'!$B$8+A834*IF('Loan Inputs'!$B$14=26,14,7)))</f>
        <v/>
      </c>
      <c r="C834" s="2" t="str">
        <f t="shared" si="38"/>
        <v/>
      </c>
      <c r="D834" s="2" t="str">
        <f>IF(A834="","",MIN('Loan Inputs'!$B$17,C834+E834)+H834)</f>
        <v/>
      </c>
      <c r="E834" s="2" t="str">
        <f>IF(A834="","",C834*'Loan Inputs'!$B$15)</f>
        <v/>
      </c>
      <c r="F834" s="2" t="str">
        <f t="shared" si="36"/>
        <v/>
      </c>
      <c r="G834" s="2" t="str">
        <f t="shared" si="37"/>
        <v/>
      </c>
      <c r="H834" s="2" t="str">
        <f>IF(A834="","",MIN('Loan Inputs'!$B$18,MAX(0,C834+E834-'Loan Inputs'!$B$17)))</f>
        <v/>
      </c>
    </row>
    <row r="835" spans="1:8" ht="22" customHeight="1">
      <c r="A835" s="1" t="str">
        <f>IF(AND('Loan Inputs'!$B$12,829&lt;=IF('Loan Inputs'!$B$12,'Loan Inputs'!$B$7,0)*'Loan Inputs'!$B$14+5*'Loan Inputs'!$B$14,ISNUMBER(G834),G834&gt;0),829,"")</f>
        <v/>
      </c>
      <c r="B835" s="4" t="str">
        <f>IF(A835="","",IF('Loan Inputs'!$B$14=12,DATE(YEAR('Loan Inputs'!$B$8),MONTH('Loan Inputs'!$B$8)+A835,DAY('Loan Inputs'!$B$8)),'Loan Inputs'!$B$8+A835*IF('Loan Inputs'!$B$14=26,14,7)))</f>
        <v/>
      </c>
      <c r="C835" s="2" t="str">
        <f t="shared" si="38"/>
        <v/>
      </c>
      <c r="D835" s="2" t="str">
        <f>IF(A835="","",MIN('Loan Inputs'!$B$17,C835+E835)+H835)</f>
        <v/>
      </c>
      <c r="E835" s="2" t="str">
        <f>IF(A835="","",C835*'Loan Inputs'!$B$15)</f>
        <v/>
      </c>
      <c r="F835" s="2" t="str">
        <f t="shared" si="36"/>
        <v/>
      </c>
      <c r="G835" s="2" t="str">
        <f t="shared" si="37"/>
        <v/>
      </c>
      <c r="H835" s="2" t="str">
        <f>IF(A835="","",MIN('Loan Inputs'!$B$18,MAX(0,C835+E835-'Loan Inputs'!$B$17)))</f>
        <v/>
      </c>
    </row>
    <row r="836" spans="1:8" ht="22" customHeight="1">
      <c r="A836" s="1" t="str">
        <f>IF(AND('Loan Inputs'!$B$12,830&lt;=IF('Loan Inputs'!$B$12,'Loan Inputs'!$B$7,0)*'Loan Inputs'!$B$14+5*'Loan Inputs'!$B$14,ISNUMBER(G835),G835&gt;0),830,"")</f>
        <v/>
      </c>
      <c r="B836" s="4" t="str">
        <f>IF(A836="","",IF('Loan Inputs'!$B$14=12,DATE(YEAR('Loan Inputs'!$B$8),MONTH('Loan Inputs'!$B$8)+A836,DAY('Loan Inputs'!$B$8)),'Loan Inputs'!$B$8+A836*IF('Loan Inputs'!$B$14=26,14,7)))</f>
        <v/>
      </c>
      <c r="C836" s="2" t="str">
        <f t="shared" si="38"/>
        <v/>
      </c>
      <c r="D836" s="2" t="str">
        <f>IF(A836="","",MIN('Loan Inputs'!$B$17,C836+E836)+H836)</f>
        <v/>
      </c>
      <c r="E836" s="2" t="str">
        <f>IF(A836="","",C836*'Loan Inputs'!$B$15)</f>
        <v/>
      </c>
      <c r="F836" s="2" t="str">
        <f t="shared" si="36"/>
        <v/>
      </c>
      <c r="G836" s="2" t="str">
        <f t="shared" si="37"/>
        <v/>
      </c>
      <c r="H836" s="2" t="str">
        <f>IF(A836="","",MIN('Loan Inputs'!$B$18,MAX(0,C836+E836-'Loan Inputs'!$B$17)))</f>
        <v/>
      </c>
    </row>
    <row r="837" spans="1:8" ht="22" customHeight="1">
      <c r="A837" s="1" t="str">
        <f>IF(AND('Loan Inputs'!$B$12,831&lt;=IF('Loan Inputs'!$B$12,'Loan Inputs'!$B$7,0)*'Loan Inputs'!$B$14+5*'Loan Inputs'!$B$14,ISNUMBER(G836),G836&gt;0),831,"")</f>
        <v/>
      </c>
      <c r="B837" s="4" t="str">
        <f>IF(A837="","",IF('Loan Inputs'!$B$14=12,DATE(YEAR('Loan Inputs'!$B$8),MONTH('Loan Inputs'!$B$8)+A837,DAY('Loan Inputs'!$B$8)),'Loan Inputs'!$B$8+A837*IF('Loan Inputs'!$B$14=26,14,7)))</f>
        <v/>
      </c>
      <c r="C837" s="2" t="str">
        <f t="shared" si="38"/>
        <v/>
      </c>
      <c r="D837" s="2" t="str">
        <f>IF(A837="","",MIN('Loan Inputs'!$B$17,C837+E837)+H837)</f>
        <v/>
      </c>
      <c r="E837" s="2" t="str">
        <f>IF(A837="","",C837*'Loan Inputs'!$B$15)</f>
        <v/>
      </c>
      <c r="F837" s="2" t="str">
        <f t="shared" si="36"/>
        <v/>
      </c>
      <c r="G837" s="2" t="str">
        <f t="shared" si="37"/>
        <v/>
      </c>
      <c r="H837" s="2" t="str">
        <f>IF(A837="","",MIN('Loan Inputs'!$B$18,MAX(0,C837+E837-'Loan Inputs'!$B$17)))</f>
        <v/>
      </c>
    </row>
    <row r="838" spans="1:8" ht="22" customHeight="1">
      <c r="A838" s="1" t="str">
        <f>IF(AND('Loan Inputs'!$B$12,832&lt;=IF('Loan Inputs'!$B$12,'Loan Inputs'!$B$7,0)*'Loan Inputs'!$B$14+5*'Loan Inputs'!$B$14,ISNUMBER(G837),G837&gt;0),832,"")</f>
        <v/>
      </c>
      <c r="B838" s="4" t="str">
        <f>IF(A838="","",IF('Loan Inputs'!$B$14=12,DATE(YEAR('Loan Inputs'!$B$8),MONTH('Loan Inputs'!$B$8)+A838,DAY('Loan Inputs'!$B$8)),'Loan Inputs'!$B$8+A838*IF('Loan Inputs'!$B$14=26,14,7)))</f>
        <v/>
      </c>
      <c r="C838" s="2" t="str">
        <f t="shared" si="38"/>
        <v/>
      </c>
      <c r="D838" s="2" t="str">
        <f>IF(A838="","",MIN('Loan Inputs'!$B$17,C838+E838)+H838)</f>
        <v/>
      </c>
      <c r="E838" s="2" t="str">
        <f>IF(A838="","",C838*'Loan Inputs'!$B$15)</f>
        <v/>
      </c>
      <c r="F838" s="2" t="str">
        <f t="shared" si="36"/>
        <v/>
      </c>
      <c r="G838" s="2" t="str">
        <f t="shared" si="37"/>
        <v/>
      </c>
      <c r="H838" s="2" t="str">
        <f>IF(A838="","",MIN('Loan Inputs'!$B$18,MAX(0,C838+E838-'Loan Inputs'!$B$17)))</f>
        <v/>
      </c>
    </row>
    <row r="839" spans="1:8" ht="22" customHeight="1">
      <c r="A839" s="1" t="str">
        <f>IF(AND('Loan Inputs'!$B$12,833&lt;=IF('Loan Inputs'!$B$12,'Loan Inputs'!$B$7,0)*'Loan Inputs'!$B$14+5*'Loan Inputs'!$B$14,ISNUMBER(G838),G838&gt;0),833,"")</f>
        <v/>
      </c>
      <c r="B839" s="4" t="str">
        <f>IF(A839="","",IF('Loan Inputs'!$B$14=12,DATE(YEAR('Loan Inputs'!$B$8),MONTH('Loan Inputs'!$B$8)+A839,DAY('Loan Inputs'!$B$8)),'Loan Inputs'!$B$8+A839*IF('Loan Inputs'!$B$14=26,14,7)))</f>
        <v/>
      </c>
      <c r="C839" s="2" t="str">
        <f t="shared" si="38"/>
        <v/>
      </c>
      <c r="D839" s="2" t="str">
        <f>IF(A839="","",MIN('Loan Inputs'!$B$17,C839+E839)+H839)</f>
        <v/>
      </c>
      <c r="E839" s="2" t="str">
        <f>IF(A839="","",C839*'Loan Inputs'!$B$15)</f>
        <v/>
      </c>
      <c r="F839" s="2" t="str">
        <f t="shared" ref="F839:F902" si="39">IF(A839="","",MIN(C839,D839-E839))</f>
        <v/>
      </c>
      <c r="G839" s="2" t="str">
        <f t="shared" ref="G839:G902" si="40">IF(A839="","",IF(C839-F839&lt;0.0000001,0,MAX(0,C839-F839)))</f>
        <v/>
      </c>
      <c r="H839" s="2" t="str">
        <f>IF(A839="","",MIN('Loan Inputs'!$B$18,MAX(0,C839+E839-'Loan Inputs'!$B$17)))</f>
        <v/>
      </c>
    </row>
    <row r="840" spans="1:8" ht="22" customHeight="1">
      <c r="A840" s="1" t="str">
        <f>IF(AND('Loan Inputs'!$B$12,834&lt;=IF('Loan Inputs'!$B$12,'Loan Inputs'!$B$7,0)*'Loan Inputs'!$B$14+5*'Loan Inputs'!$B$14,ISNUMBER(G839),G839&gt;0),834,"")</f>
        <v/>
      </c>
      <c r="B840" s="4" t="str">
        <f>IF(A840="","",IF('Loan Inputs'!$B$14=12,DATE(YEAR('Loan Inputs'!$B$8),MONTH('Loan Inputs'!$B$8)+A840,DAY('Loan Inputs'!$B$8)),'Loan Inputs'!$B$8+A840*IF('Loan Inputs'!$B$14=26,14,7)))</f>
        <v/>
      </c>
      <c r="C840" s="2" t="str">
        <f t="shared" ref="C840:C903" si="41">IF(A840="","",G839)</f>
        <v/>
      </c>
      <c r="D840" s="2" t="str">
        <f>IF(A840="","",MIN('Loan Inputs'!$B$17,C840+E840)+H840)</f>
        <v/>
      </c>
      <c r="E840" s="2" t="str">
        <f>IF(A840="","",C840*'Loan Inputs'!$B$15)</f>
        <v/>
      </c>
      <c r="F840" s="2" t="str">
        <f t="shared" si="39"/>
        <v/>
      </c>
      <c r="G840" s="2" t="str">
        <f t="shared" si="40"/>
        <v/>
      </c>
      <c r="H840" s="2" t="str">
        <f>IF(A840="","",MIN('Loan Inputs'!$B$18,MAX(0,C840+E840-'Loan Inputs'!$B$17)))</f>
        <v/>
      </c>
    </row>
    <row r="841" spans="1:8" ht="22" customHeight="1">
      <c r="A841" s="1" t="str">
        <f>IF(AND('Loan Inputs'!$B$12,835&lt;=IF('Loan Inputs'!$B$12,'Loan Inputs'!$B$7,0)*'Loan Inputs'!$B$14+5*'Loan Inputs'!$B$14,ISNUMBER(G840),G840&gt;0),835,"")</f>
        <v/>
      </c>
      <c r="B841" s="4" t="str">
        <f>IF(A841="","",IF('Loan Inputs'!$B$14=12,DATE(YEAR('Loan Inputs'!$B$8),MONTH('Loan Inputs'!$B$8)+A841,DAY('Loan Inputs'!$B$8)),'Loan Inputs'!$B$8+A841*IF('Loan Inputs'!$B$14=26,14,7)))</f>
        <v/>
      </c>
      <c r="C841" s="2" t="str">
        <f t="shared" si="41"/>
        <v/>
      </c>
      <c r="D841" s="2" t="str">
        <f>IF(A841="","",MIN('Loan Inputs'!$B$17,C841+E841)+H841)</f>
        <v/>
      </c>
      <c r="E841" s="2" t="str">
        <f>IF(A841="","",C841*'Loan Inputs'!$B$15)</f>
        <v/>
      </c>
      <c r="F841" s="2" t="str">
        <f t="shared" si="39"/>
        <v/>
      </c>
      <c r="G841" s="2" t="str">
        <f t="shared" si="40"/>
        <v/>
      </c>
      <c r="H841" s="2" t="str">
        <f>IF(A841="","",MIN('Loan Inputs'!$B$18,MAX(0,C841+E841-'Loan Inputs'!$B$17)))</f>
        <v/>
      </c>
    </row>
    <row r="842" spans="1:8" ht="22" customHeight="1">
      <c r="A842" s="1" t="str">
        <f>IF(AND('Loan Inputs'!$B$12,836&lt;=IF('Loan Inputs'!$B$12,'Loan Inputs'!$B$7,0)*'Loan Inputs'!$B$14+5*'Loan Inputs'!$B$14,ISNUMBER(G841),G841&gt;0),836,"")</f>
        <v/>
      </c>
      <c r="B842" s="4" t="str">
        <f>IF(A842="","",IF('Loan Inputs'!$B$14=12,DATE(YEAR('Loan Inputs'!$B$8),MONTH('Loan Inputs'!$B$8)+A842,DAY('Loan Inputs'!$B$8)),'Loan Inputs'!$B$8+A842*IF('Loan Inputs'!$B$14=26,14,7)))</f>
        <v/>
      </c>
      <c r="C842" s="2" t="str">
        <f t="shared" si="41"/>
        <v/>
      </c>
      <c r="D842" s="2" t="str">
        <f>IF(A842="","",MIN('Loan Inputs'!$B$17,C842+E842)+H842)</f>
        <v/>
      </c>
      <c r="E842" s="2" t="str">
        <f>IF(A842="","",C842*'Loan Inputs'!$B$15)</f>
        <v/>
      </c>
      <c r="F842" s="2" t="str">
        <f t="shared" si="39"/>
        <v/>
      </c>
      <c r="G842" s="2" t="str">
        <f t="shared" si="40"/>
        <v/>
      </c>
      <c r="H842" s="2" t="str">
        <f>IF(A842="","",MIN('Loan Inputs'!$B$18,MAX(0,C842+E842-'Loan Inputs'!$B$17)))</f>
        <v/>
      </c>
    </row>
    <row r="843" spans="1:8" ht="22" customHeight="1">
      <c r="A843" s="1" t="str">
        <f>IF(AND('Loan Inputs'!$B$12,837&lt;=IF('Loan Inputs'!$B$12,'Loan Inputs'!$B$7,0)*'Loan Inputs'!$B$14+5*'Loan Inputs'!$B$14,ISNUMBER(G842),G842&gt;0),837,"")</f>
        <v/>
      </c>
      <c r="B843" s="4" t="str">
        <f>IF(A843="","",IF('Loan Inputs'!$B$14=12,DATE(YEAR('Loan Inputs'!$B$8),MONTH('Loan Inputs'!$B$8)+A843,DAY('Loan Inputs'!$B$8)),'Loan Inputs'!$B$8+A843*IF('Loan Inputs'!$B$14=26,14,7)))</f>
        <v/>
      </c>
      <c r="C843" s="2" t="str">
        <f t="shared" si="41"/>
        <v/>
      </c>
      <c r="D843" s="2" t="str">
        <f>IF(A843="","",MIN('Loan Inputs'!$B$17,C843+E843)+H843)</f>
        <v/>
      </c>
      <c r="E843" s="2" t="str">
        <f>IF(A843="","",C843*'Loan Inputs'!$B$15)</f>
        <v/>
      </c>
      <c r="F843" s="2" t="str">
        <f t="shared" si="39"/>
        <v/>
      </c>
      <c r="G843" s="2" t="str">
        <f t="shared" si="40"/>
        <v/>
      </c>
      <c r="H843" s="2" t="str">
        <f>IF(A843="","",MIN('Loan Inputs'!$B$18,MAX(0,C843+E843-'Loan Inputs'!$B$17)))</f>
        <v/>
      </c>
    </row>
    <row r="844" spans="1:8" ht="22" customHeight="1">
      <c r="A844" s="1" t="str">
        <f>IF(AND('Loan Inputs'!$B$12,838&lt;=IF('Loan Inputs'!$B$12,'Loan Inputs'!$B$7,0)*'Loan Inputs'!$B$14+5*'Loan Inputs'!$B$14,ISNUMBER(G843),G843&gt;0),838,"")</f>
        <v/>
      </c>
      <c r="B844" s="4" t="str">
        <f>IF(A844="","",IF('Loan Inputs'!$B$14=12,DATE(YEAR('Loan Inputs'!$B$8),MONTH('Loan Inputs'!$B$8)+A844,DAY('Loan Inputs'!$B$8)),'Loan Inputs'!$B$8+A844*IF('Loan Inputs'!$B$14=26,14,7)))</f>
        <v/>
      </c>
      <c r="C844" s="2" t="str">
        <f t="shared" si="41"/>
        <v/>
      </c>
      <c r="D844" s="2" t="str">
        <f>IF(A844="","",MIN('Loan Inputs'!$B$17,C844+E844)+H844)</f>
        <v/>
      </c>
      <c r="E844" s="2" t="str">
        <f>IF(A844="","",C844*'Loan Inputs'!$B$15)</f>
        <v/>
      </c>
      <c r="F844" s="2" t="str">
        <f t="shared" si="39"/>
        <v/>
      </c>
      <c r="G844" s="2" t="str">
        <f t="shared" si="40"/>
        <v/>
      </c>
      <c r="H844" s="2" t="str">
        <f>IF(A844="","",MIN('Loan Inputs'!$B$18,MAX(0,C844+E844-'Loan Inputs'!$B$17)))</f>
        <v/>
      </c>
    </row>
    <row r="845" spans="1:8" ht="22" customHeight="1">
      <c r="A845" s="1" t="str">
        <f>IF(AND('Loan Inputs'!$B$12,839&lt;=IF('Loan Inputs'!$B$12,'Loan Inputs'!$B$7,0)*'Loan Inputs'!$B$14+5*'Loan Inputs'!$B$14,ISNUMBER(G844),G844&gt;0),839,"")</f>
        <v/>
      </c>
      <c r="B845" s="4" t="str">
        <f>IF(A845="","",IF('Loan Inputs'!$B$14=12,DATE(YEAR('Loan Inputs'!$B$8),MONTH('Loan Inputs'!$B$8)+A845,DAY('Loan Inputs'!$B$8)),'Loan Inputs'!$B$8+A845*IF('Loan Inputs'!$B$14=26,14,7)))</f>
        <v/>
      </c>
      <c r="C845" s="2" t="str">
        <f t="shared" si="41"/>
        <v/>
      </c>
      <c r="D845" s="2" t="str">
        <f>IF(A845="","",MIN('Loan Inputs'!$B$17,C845+E845)+H845)</f>
        <v/>
      </c>
      <c r="E845" s="2" t="str">
        <f>IF(A845="","",C845*'Loan Inputs'!$B$15)</f>
        <v/>
      </c>
      <c r="F845" s="2" t="str">
        <f t="shared" si="39"/>
        <v/>
      </c>
      <c r="G845" s="2" t="str">
        <f t="shared" si="40"/>
        <v/>
      </c>
      <c r="H845" s="2" t="str">
        <f>IF(A845="","",MIN('Loan Inputs'!$B$18,MAX(0,C845+E845-'Loan Inputs'!$B$17)))</f>
        <v/>
      </c>
    </row>
    <row r="846" spans="1:8" ht="22" customHeight="1">
      <c r="A846" s="1" t="str">
        <f>IF(AND('Loan Inputs'!$B$12,840&lt;=IF('Loan Inputs'!$B$12,'Loan Inputs'!$B$7,0)*'Loan Inputs'!$B$14+5*'Loan Inputs'!$B$14,ISNUMBER(G845),G845&gt;0),840,"")</f>
        <v/>
      </c>
      <c r="B846" s="4" t="str">
        <f>IF(A846="","",IF('Loan Inputs'!$B$14=12,DATE(YEAR('Loan Inputs'!$B$8),MONTH('Loan Inputs'!$B$8)+A846,DAY('Loan Inputs'!$B$8)),'Loan Inputs'!$B$8+A846*IF('Loan Inputs'!$B$14=26,14,7)))</f>
        <v/>
      </c>
      <c r="C846" s="2" t="str">
        <f t="shared" si="41"/>
        <v/>
      </c>
      <c r="D846" s="2" t="str">
        <f>IF(A846="","",MIN('Loan Inputs'!$B$17,C846+E846)+H846)</f>
        <v/>
      </c>
      <c r="E846" s="2" t="str">
        <f>IF(A846="","",C846*'Loan Inputs'!$B$15)</f>
        <v/>
      </c>
      <c r="F846" s="2" t="str">
        <f t="shared" si="39"/>
        <v/>
      </c>
      <c r="G846" s="2" t="str">
        <f t="shared" si="40"/>
        <v/>
      </c>
      <c r="H846" s="2" t="str">
        <f>IF(A846="","",MIN('Loan Inputs'!$B$18,MAX(0,C846+E846-'Loan Inputs'!$B$17)))</f>
        <v/>
      </c>
    </row>
    <row r="847" spans="1:8" ht="22" customHeight="1">
      <c r="A847" s="1" t="str">
        <f>IF(AND('Loan Inputs'!$B$12,841&lt;=IF('Loan Inputs'!$B$12,'Loan Inputs'!$B$7,0)*'Loan Inputs'!$B$14+5*'Loan Inputs'!$B$14,ISNUMBER(G846),G846&gt;0),841,"")</f>
        <v/>
      </c>
      <c r="B847" s="4" t="str">
        <f>IF(A847="","",IF('Loan Inputs'!$B$14=12,DATE(YEAR('Loan Inputs'!$B$8),MONTH('Loan Inputs'!$B$8)+A847,DAY('Loan Inputs'!$B$8)),'Loan Inputs'!$B$8+A847*IF('Loan Inputs'!$B$14=26,14,7)))</f>
        <v/>
      </c>
      <c r="C847" s="2" t="str">
        <f t="shared" si="41"/>
        <v/>
      </c>
      <c r="D847" s="2" t="str">
        <f>IF(A847="","",MIN('Loan Inputs'!$B$17,C847+E847)+H847)</f>
        <v/>
      </c>
      <c r="E847" s="2" t="str">
        <f>IF(A847="","",C847*'Loan Inputs'!$B$15)</f>
        <v/>
      </c>
      <c r="F847" s="2" t="str">
        <f t="shared" si="39"/>
        <v/>
      </c>
      <c r="G847" s="2" t="str">
        <f t="shared" si="40"/>
        <v/>
      </c>
      <c r="H847" s="2" t="str">
        <f>IF(A847="","",MIN('Loan Inputs'!$B$18,MAX(0,C847+E847-'Loan Inputs'!$B$17)))</f>
        <v/>
      </c>
    </row>
    <row r="848" spans="1:8" ht="22" customHeight="1">
      <c r="A848" s="1" t="str">
        <f>IF(AND('Loan Inputs'!$B$12,842&lt;=IF('Loan Inputs'!$B$12,'Loan Inputs'!$B$7,0)*'Loan Inputs'!$B$14+5*'Loan Inputs'!$B$14,ISNUMBER(G847),G847&gt;0),842,"")</f>
        <v/>
      </c>
      <c r="B848" s="4" t="str">
        <f>IF(A848="","",IF('Loan Inputs'!$B$14=12,DATE(YEAR('Loan Inputs'!$B$8),MONTH('Loan Inputs'!$B$8)+A848,DAY('Loan Inputs'!$B$8)),'Loan Inputs'!$B$8+A848*IF('Loan Inputs'!$B$14=26,14,7)))</f>
        <v/>
      </c>
      <c r="C848" s="2" t="str">
        <f t="shared" si="41"/>
        <v/>
      </c>
      <c r="D848" s="2" t="str">
        <f>IF(A848="","",MIN('Loan Inputs'!$B$17,C848+E848)+H848)</f>
        <v/>
      </c>
      <c r="E848" s="2" t="str">
        <f>IF(A848="","",C848*'Loan Inputs'!$B$15)</f>
        <v/>
      </c>
      <c r="F848" s="2" t="str">
        <f t="shared" si="39"/>
        <v/>
      </c>
      <c r="G848" s="2" t="str">
        <f t="shared" si="40"/>
        <v/>
      </c>
      <c r="H848" s="2" t="str">
        <f>IF(A848="","",MIN('Loan Inputs'!$B$18,MAX(0,C848+E848-'Loan Inputs'!$B$17)))</f>
        <v/>
      </c>
    </row>
    <row r="849" spans="1:8" ht="22" customHeight="1">
      <c r="A849" s="1" t="str">
        <f>IF(AND('Loan Inputs'!$B$12,843&lt;=IF('Loan Inputs'!$B$12,'Loan Inputs'!$B$7,0)*'Loan Inputs'!$B$14+5*'Loan Inputs'!$B$14,ISNUMBER(G848),G848&gt;0),843,"")</f>
        <v/>
      </c>
      <c r="B849" s="4" t="str">
        <f>IF(A849="","",IF('Loan Inputs'!$B$14=12,DATE(YEAR('Loan Inputs'!$B$8),MONTH('Loan Inputs'!$B$8)+A849,DAY('Loan Inputs'!$B$8)),'Loan Inputs'!$B$8+A849*IF('Loan Inputs'!$B$14=26,14,7)))</f>
        <v/>
      </c>
      <c r="C849" s="2" t="str">
        <f t="shared" si="41"/>
        <v/>
      </c>
      <c r="D849" s="2" t="str">
        <f>IF(A849="","",MIN('Loan Inputs'!$B$17,C849+E849)+H849)</f>
        <v/>
      </c>
      <c r="E849" s="2" t="str">
        <f>IF(A849="","",C849*'Loan Inputs'!$B$15)</f>
        <v/>
      </c>
      <c r="F849" s="2" t="str">
        <f t="shared" si="39"/>
        <v/>
      </c>
      <c r="G849" s="2" t="str">
        <f t="shared" si="40"/>
        <v/>
      </c>
      <c r="H849" s="2" t="str">
        <f>IF(A849="","",MIN('Loan Inputs'!$B$18,MAX(0,C849+E849-'Loan Inputs'!$B$17)))</f>
        <v/>
      </c>
    </row>
    <row r="850" spans="1:8" ht="22" customHeight="1">
      <c r="A850" s="1" t="str">
        <f>IF(AND('Loan Inputs'!$B$12,844&lt;=IF('Loan Inputs'!$B$12,'Loan Inputs'!$B$7,0)*'Loan Inputs'!$B$14+5*'Loan Inputs'!$B$14,ISNUMBER(G849),G849&gt;0),844,"")</f>
        <v/>
      </c>
      <c r="B850" s="4" t="str">
        <f>IF(A850="","",IF('Loan Inputs'!$B$14=12,DATE(YEAR('Loan Inputs'!$B$8),MONTH('Loan Inputs'!$B$8)+A850,DAY('Loan Inputs'!$B$8)),'Loan Inputs'!$B$8+A850*IF('Loan Inputs'!$B$14=26,14,7)))</f>
        <v/>
      </c>
      <c r="C850" s="2" t="str">
        <f t="shared" si="41"/>
        <v/>
      </c>
      <c r="D850" s="2" t="str">
        <f>IF(A850="","",MIN('Loan Inputs'!$B$17,C850+E850)+H850)</f>
        <v/>
      </c>
      <c r="E850" s="2" t="str">
        <f>IF(A850="","",C850*'Loan Inputs'!$B$15)</f>
        <v/>
      </c>
      <c r="F850" s="2" t="str">
        <f t="shared" si="39"/>
        <v/>
      </c>
      <c r="G850" s="2" t="str">
        <f t="shared" si="40"/>
        <v/>
      </c>
      <c r="H850" s="2" t="str">
        <f>IF(A850="","",MIN('Loan Inputs'!$B$18,MAX(0,C850+E850-'Loan Inputs'!$B$17)))</f>
        <v/>
      </c>
    </row>
    <row r="851" spans="1:8" ht="22" customHeight="1">
      <c r="A851" s="1" t="str">
        <f>IF(AND('Loan Inputs'!$B$12,845&lt;=IF('Loan Inputs'!$B$12,'Loan Inputs'!$B$7,0)*'Loan Inputs'!$B$14+5*'Loan Inputs'!$B$14,ISNUMBER(G850),G850&gt;0),845,"")</f>
        <v/>
      </c>
      <c r="B851" s="4" t="str">
        <f>IF(A851="","",IF('Loan Inputs'!$B$14=12,DATE(YEAR('Loan Inputs'!$B$8),MONTH('Loan Inputs'!$B$8)+A851,DAY('Loan Inputs'!$B$8)),'Loan Inputs'!$B$8+A851*IF('Loan Inputs'!$B$14=26,14,7)))</f>
        <v/>
      </c>
      <c r="C851" s="2" t="str">
        <f t="shared" si="41"/>
        <v/>
      </c>
      <c r="D851" s="2" t="str">
        <f>IF(A851="","",MIN('Loan Inputs'!$B$17,C851+E851)+H851)</f>
        <v/>
      </c>
      <c r="E851" s="2" t="str">
        <f>IF(A851="","",C851*'Loan Inputs'!$B$15)</f>
        <v/>
      </c>
      <c r="F851" s="2" t="str">
        <f t="shared" si="39"/>
        <v/>
      </c>
      <c r="G851" s="2" t="str">
        <f t="shared" si="40"/>
        <v/>
      </c>
      <c r="H851" s="2" t="str">
        <f>IF(A851="","",MIN('Loan Inputs'!$B$18,MAX(0,C851+E851-'Loan Inputs'!$B$17)))</f>
        <v/>
      </c>
    </row>
    <row r="852" spans="1:8" ht="22" customHeight="1">
      <c r="A852" s="1" t="str">
        <f>IF(AND('Loan Inputs'!$B$12,846&lt;=IF('Loan Inputs'!$B$12,'Loan Inputs'!$B$7,0)*'Loan Inputs'!$B$14+5*'Loan Inputs'!$B$14,ISNUMBER(G851),G851&gt;0),846,"")</f>
        <v/>
      </c>
      <c r="B852" s="4" t="str">
        <f>IF(A852="","",IF('Loan Inputs'!$B$14=12,DATE(YEAR('Loan Inputs'!$B$8),MONTH('Loan Inputs'!$B$8)+A852,DAY('Loan Inputs'!$B$8)),'Loan Inputs'!$B$8+A852*IF('Loan Inputs'!$B$14=26,14,7)))</f>
        <v/>
      </c>
      <c r="C852" s="2" t="str">
        <f t="shared" si="41"/>
        <v/>
      </c>
      <c r="D852" s="2" t="str">
        <f>IF(A852="","",MIN('Loan Inputs'!$B$17,C852+E852)+H852)</f>
        <v/>
      </c>
      <c r="E852" s="2" t="str">
        <f>IF(A852="","",C852*'Loan Inputs'!$B$15)</f>
        <v/>
      </c>
      <c r="F852" s="2" t="str">
        <f t="shared" si="39"/>
        <v/>
      </c>
      <c r="G852" s="2" t="str">
        <f t="shared" si="40"/>
        <v/>
      </c>
      <c r="H852" s="2" t="str">
        <f>IF(A852="","",MIN('Loan Inputs'!$B$18,MAX(0,C852+E852-'Loan Inputs'!$B$17)))</f>
        <v/>
      </c>
    </row>
    <row r="853" spans="1:8" ht="22" customHeight="1">
      <c r="A853" s="1" t="str">
        <f>IF(AND('Loan Inputs'!$B$12,847&lt;=IF('Loan Inputs'!$B$12,'Loan Inputs'!$B$7,0)*'Loan Inputs'!$B$14+5*'Loan Inputs'!$B$14,ISNUMBER(G852),G852&gt;0),847,"")</f>
        <v/>
      </c>
      <c r="B853" s="4" t="str">
        <f>IF(A853="","",IF('Loan Inputs'!$B$14=12,DATE(YEAR('Loan Inputs'!$B$8),MONTH('Loan Inputs'!$B$8)+A853,DAY('Loan Inputs'!$B$8)),'Loan Inputs'!$B$8+A853*IF('Loan Inputs'!$B$14=26,14,7)))</f>
        <v/>
      </c>
      <c r="C853" s="2" t="str">
        <f t="shared" si="41"/>
        <v/>
      </c>
      <c r="D853" s="2" t="str">
        <f>IF(A853="","",MIN('Loan Inputs'!$B$17,C853+E853)+H853)</f>
        <v/>
      </c>
      <c r="E853" s="2" t="str">
        <f>IF(A853="","",C853*'Loan Inputs'!$B$15)</f>
        <v/>
      </c>
      <c r="F853" s="2" t="str">
        <f t="shared" si="39"/>
        <v/>
      </c>
      <c r="G853" s="2" t="str">
        <f t="shared" si="40"/>
        <v/>
      </c>
      <c r="H853" s="2" t="str">
        <f>IF(A853="","",MIN('Loan Inputs'!$B$18,MAX(0,C853+E853-'Loan Inputs'!$B$17)))</f>
        <v/>
      </c>
    </row>
    <row r="854" spans="1:8" ht="22" customHeight="1">
      <c r="A854" s="1" t="str">
        <f>IF(AND('Loan Inputs'!$B$12,848&lt;=IF('Loan Inputs'!$B$12,'Loan Inputs'!$B$7,0)*'Loan Inputs'!$B$14+5*'Loan Inputs'!$B$14,ISNUMBER(G853),G853&gt;0),848,"")</f>
        <v/>
      </c>
      <c r="B854" s="4" t="str">
        <f>IF(A854="","",IF('Loan Inputs'!$B$14=12,DATE(YEAR('Loan Inputs'!$B$8),MONTH('Loan Inputs'!$B$8)+A854,DAY('Loan Inputs'!$B$8)),'Loan Inputs'!$B$8+A854*IF('Loan Inputs'!$B$14=26,14,7)))</f>
        <v/>
      </c>
      <c r="C854" s="2" t="str">
        <f t="shared" si="41"/>
        <v/>
      </c>
      <c r="D854" s="2" t="str">
        <f>IF(A854="","",MIN('Loan Inputs'!$B$17,C854+E854)+H854)</f>
        <v/>
      </c>
      <c r="E854" s="2" t="str">
        <f>IF(A854="","",C854*'Loan Inputs'!$B$15)</f>
        <v/>
      </c>
      <c r="F854" s="2" t="str">
        <f t="shared" si="39"/>
        <v/>
      </c>
      <c r="G854" s="2" t="str">
        <f t="shared" si="40"/>
        <v/>
      </c>
      <c r="H854" s="2" t="str">
        <f>IF(A854="","",MIN('Loan Inputs'!$B$18,MAX(0,C854+E854-'Loan Inputs'!$B$17)))</f>
        <v/>
      </c>
    </row>
    <row r="855" spans="1:8" ht="22" customHeight="1">
      <c r="A855" s="1" t="str">
        <f>IF(AND('Loan Inputs'!$B$12,849&lt;=IF('Loan Inputs'!$B$12,'Loan Inputs'!$B$7,0)*'Loan Inputs'!$B$14+5*'Loan Inputs'!$B$14,ISNUMBER(G854),G854&gt;0),849,"")</f>
        <v/>
      </c>
      <c r="B855" s="4" t="str">
        <f>IF(A855="","",IF('Loan Inputs'!$B$14=12,DATE(YEAR('Loan Inputs'!$B$8),MONTH('Loan Inputs'!$B$8)+A855,DAY('Loan Inputs'!$B$8)),'Loan Inputs'!$B$8+A855*IF('Loan Inputs'!$B$14=26,14,7)))</f>
        <v/>
      </c>
      <c r="C855" s="2" t="str">
        <f t="shared" si="41"/>
        <v/>
      </c>
      <c r="D855" s="2" t="str">
        <f>IF(A855="","",MIN('Loan Inputs'!$B$17,C855+E855)+H855)</f>
        <v/>
      </c>
      <c r="E855" s="2" t="str">
        <f>IF(A855="","",C855*'Loan Inputs'!$B$15)</f>
        <v/>
      </c>
      <c r="F855" s="2" t="str">
        <f t="shared" si="39"/>
        <v/>
      </c>
      <c r="G855" s="2" t="str">
        <f t="shared" si="40"/>
        <v/>
      </c>
      <c r="H855" s="2" t="str">
        <f>IF(A855="","",MIN('Loan Inputs'!$B$18,MAX(0,C855+E855-'Loan Inputs'!$B$17)))</f>
        <v/>
      </c>
    </row>
    <row r="856" spans="1:8" ht="22" customHeight="1">
      <c r="A856" s="1" t="str">
        <f>IF(AND('Loan Inputs'!$B$12,850&lt;=IF('Loan Inputs'!$B$12,'Loan Inputs'!$B$7,0)*'Loan Inputs'!$B$14+5*'Loan Inputs'!$B$14,ISNUMBER(G855),G855&gt;0),850,"")</f>
        <v/>
      </c>
      <c r="B856" s="4" t="str">
        <f>IF(A856="","",IF('Loan Inputs'!$B$14=12,DATE(YEAR('Loan Inputs'!$B$8),MONTH('Loan Inputs'!$B$8)+A856,DAY('Loan Inputs'!$B$8)),'Loan Inputs'!$B$8+A856*IF('Loan Inputs'!$B$14=26,14,7)))</f>
        <v/>
      </c>
      <c r="C856" s="2" t="str">
        <f t="shared" si="41"/>
        <v/>
      </c>
      <c r="D856" s="2" t="str">
        <f>IF(A856="","",MIN('Loan Inputs'!$B$17,C856+E856)+H856)</f>
        <v/>
      </c>
      <c r="E856" s="2" t="str">
        <f>IF(A856="","",C856*'Loan Inputs'!$B$15)</f>
        <v/>
      </c>
      <c r="F856" s="2" t="str">
        <f t="shared" si="39"/>
        <v/>
      </c>
      <c r="G856" s="2" t="str">
        <f t="shared" si="40"/>
        <v/>
      </c>
      <c r="H856" s="2" t="str">
        <f>IF(A856="","",MIN('Loan Inputs'!$B$18,MAX(0,C856+E856-'Loan Inputs'!$B$17)))</f>
        <v/>
      </c>
    </row>
    <row r="857" spans="1:8" ht="22" customHeight="1">
      <c r="A857" s="1" t="str">
        <f>IF(AND('Loan Inputs'!$B$12,851&lt;=IF('Loan Inputs'!$B$12,'Loan Inputs'!$B$7,0)*'Loan Inputs'!$B$14+5*'Loan Inputs'!$B$14,ISNUMBER(G856),G856&gt;0),851,"")</f>
        <v/>
      </c>
      <c r="B857" s="4" t="str">
        <f>IF(A857="","",IF('Loan Inputs'!$B$14=12,DATE(YEAR('Loan Inputs'!$B$8),MONTH('Loan Inputs'!$B$8)+A857,DAY('Loan Inputs'!$B$8)),'Loan Inputs'!$B$8+A857*IF('Loan Inputs'!$B$14=26,14,7)))</f>
        <v/>
      </c>
      <c r="C857" s="2" t="str">
        <f t="shared" si="41"/>
        <v/>
      </c>
      <c r="D857" s="2" t="str">
        <f>IF(A857="","",MIN('Loan Inputs'!$B$17,C857+E857)+H857)</f>
        <v/>
      </c>
      <c r="E857" s="2" t="str">
        <f>IF(A857="","",C857*'Loan Inputs'!$B$15)</f>
        <v/>
      </c>
      <c r="F857" s="2" t="str">
        <f t="shared" si="39"/>
        <v/>
      </c>
      <c r="G857" s="2" t="str">
        <f t="shared" si="40"/>
        <v/>
      </c>
      <c r="H857" s="2" t="str">
        <f>IF(A857="","",MIN('Loan Inputs'!$B$18,MAX(0,C857+E857-'Loan Inputs'!$B$17)))</f>
        <v/>
      </c>
    </row>
    <row r="858" spans="1:8" ht="22" customHeight="1">
      <c r="A858" s="1" t="str">
        <f>IF(AND('Loan Inputs'!$B$12,852&lt;=IF('Loan Inputs'!$B$12,'Loan Inputs'!$B$7,0)*'Loan Inputs'!$B$14+5*'Loan Inputs'!$B$14,ISNUMBER(G857),G857&gt;0),852,"")</f>
        <v/>
      </c>
      <c r="B858" s="4" t="str">
        <f>IF(A858="","",IF('Loan Inputs'!$B$14=12,DATE(YEAR('Loan Inputs'!$B$8),MONTH('Loan Inputs'!$B$8)+A858,DAY('Loan Inputs'!$B$8)),'Loan Inputs'!$B$8+A858*IF('Loan Inputs'!$B$14=26,14,7)))</f>
        <v/>
      </c>
      <c r="C858" s="2" t="str">
        <f t="shared" si="41"/>
        <v/>
      </c>
      <c r="D858" s="2" t="str">
        <f>IF(A858="","",MIN('Loan Inputs'!$B$17,C858+E858)+H858)</f>
        <v/>
      </c>
      <c r="E858" s="2" t="str">
        <f>IF(A858="","",C858*'Loan Inputs'!$B$15)</f>
        <v/>
      </c>
      <c r="F858" s="2" t="str">
        <f t="shared" si="39"/>
        <v/>
      </c>
      <c r="G858" s="2" t="str">
        <f t="shared" si="40"/>
        <v/>
      </c>
      <c r="H858" s="2" t="str">
        <f>IF(A858="","",MIN('Loan Inputs'!$B$18,MAX(0,C858+E858-'Loan Inputs'!$B$17)))</f>
        <v/>
      </c>
    </row>
    <row r="859" spans="1:8" ht="22" customHeight="1">
      <c r="A859" s="1" t="str">
        <f>IF(AND('Loan Inputs'!$B$12,853&lt;=IF('Loan Inputs'!$B$12,'Loan Inputs'!$B$7,0)*'Loan Inputs'!$B$14+5*'Loan Inputs'!$B$14,ISNUMBER(G858),G858&gt;0),853,"")</f>
        <v/>
      </c>
      <c r="B859" s="4" t="str">
        <f>IF(A859="","",IF('Loan Inputs'!$B$14=12,DATE(YEAR('Loan Inputs'!$B$8),MONTH('Loan Inputs'!$B$8)+A859,DAY('Loan Inputs'!$B$8)),'Loan Inputs'!$B$8+A859*IF('Loan Inputs'!$B$14=26,14,7)))</f>
        <v/>
      </c>
      <c r="C859" s="2" t="str">
        <f t="shared" si="41"/>
        <v/>
      </c>
      <c r="D859" s="2" t="str">
        <f>IF(A859="","",MIN('Loan Inputs'!$B$17,C859+E859)+H859)</f>
        <v/>
      </c>
      <c r="E859" s="2" t="str">
        <f>IF(A859="","",C859*'Loan Inputs'!$B$15)</f>
        <v/>
      </c>
      <c r="F859" s="2" t="str">
        <f t="shared" si="39"/>
        <v/>
      </c>
      <c r="G859" s="2" t="str">
        <f t="shared" si="40"/>
        <v/>
      </c>
      <c r="H859" s="2" t="str">
        <f>IF(A859="","",MIN('Loan Inputs'!$B$18,MAX(0,C859+E859-'Loan Inputs'!$B$17)))</f>
        <v/>
      </c>
    </row>
    <row r="860" spans="1:8" ht="22" customHeight="1">
      <c r="A860" s="1" t="str">
        <f>IF(AND('Loan Inputs'!$B$12,854&lt;=IF('Loan Inputs'!$B$12,'Loan Inputs'!$B$7,0)*'Loan Inputs'!$B$14+5*'Loan Inputs'!$B$14,ISNUMBER(G859),G859&gt;0),854,"")</f>
        <v/>
      </c>
      <c r="B860" s="4" t="str">
        <f>IF(A860="","",IF('Loan Inputs'!$B$14=12,DATE(YEAR('Loan Inputs'!$B$8),MONTH('Loan Inputs'!$B$8)+A860,DAY('Loan Inputs'!$B$8)),'Loan Inputs'!$B$8+A860*IF('Loan Inputs'!$B$14=26,14,7)))</f>
        <v/>
      </c>
      <c r="C860" s="2" t="str">
        <f t="shared" si="41"/>
        <v/>
      </c>
      <c r="D860" s="2" t="str">
        <f>IF(A860="","",MIN('Loan Inputs'!$B$17,C860+E860)+H860)</f>
        <v/>
      </c>
      <c r="E860" s="2" t="str">
        <f>IF(A860="","",C860*'Loan Inputs'!$B$15)</f>
        <v/>
      </c>
      <c r="F860" s="2" t="str">
        <f t="shared" si="39"/>
        <v/>
      </c>
      <c r="G860" s="2" t="str">
        <f t="shared" si="40"/>
        <v/>
      </c>
      <c r="H860" s="2" t="str">
        <f>IF(A860="","",MIN('Loan Inputs'!$B$18,MAX(0,C860+E860-'Loan Inputs'!$B$17)))</f>
        <v/>
      </c>
    </row>
    <row r="861" spans="1:8" ht="22" customHeight="1">
      <c r="A861" s="1" t="str">
        <f>IF(AND('Loan Inputs'!$B$12,855&lt;=IF('Loan Inputs'!$B$12,'Loan Inputs'!$B$7,0)*'Loan Inputs'!$B$14+5*'Loan Inputs'!$B$14,ISNUMBER(G860),G860&gt;0),855,"")</f>
        <v/>
      </c>
      <c r="B861" s="4" t="str">
        <f>IF(A861="","",IF('Loan Inputs'!$B$14=12,DATE(YEAR('Loan Inputs'!$B$8),MONTH('Loan Inputs'!$B$8)+A861,DAY('Loan Inputs'!$B$8)),'Loan Inputs'!$B$8+A861*IF('Loan Inputs'!$B$14=26,14,7)))</f>
        <v/>
      </c>
      <c r="C861" s="2" t="str">
        <f t="shared" si="41"/>
        <v/>
      </c>
      <c r="D861" s="2" t="str">
        <f>IF(A861="","",MIN('Loan Inputs'!$B$17,C861+E861)+H861)</f>
        <v/>
      </c>
      <c r="E861" s="2" t="str">
        <f>IF(A861="","",C861*'Loan Inputs'!$B$15)</f>
        <v/>
      </c>
      <c r="F861" s="2" t="str">
        <f t="shared" si="39"/>
        <v/>
      </c>
      <c r="G861" s="2" t="str">
        <f t="shared" si="40"/>
        <v/>
      </c>
      <c r="H861" s="2" t="str">
        <f>IF(A861="","",MIN('Loan Inputs'!$B$18,MAX(0,C861+E861-'Loan Inputs'!$B$17)))</f>
        <v/>
      </c>
    </row>
    <row r="862" spans="1:8" ht="22" customHeight="1">
      <c r="A862" s="1" t="str">
        <f>IF(AND('Loan Inputs'!$B$12,856&lt;=IF('Loan Inputs'!$B$12,'Loan Inputs'!$B$7,0)*'Loan Inputs'!$B$14+5*'Loan Inputs'!$B$14,ISNUMBER(G861),G861&gt;0),856,"")</f>
        <v/>
      </c>
      <c r="B862" s="4" t="str">
        <f>IF(A862="","",IF('Loan Inputs'!$B$14=12,DATE(YEAR('Loan Inputs'!$B$8),MONTH('Loan Inputs'!$B$8)+A862,DAY('Loan Inputs'!$B$8)),'Loan Inputs'!$B$8+A862*IF('Loan Inputs'!$B$14=26,14,7)))</f>
        <v/>
      </c>
      <c r="C862" s="2" t="str">
        <f t="shared" si="41"/>
        <v/>
      </c>
      <c r="D862" s="2" t="str">
        <f>IF(A862="","",MIN('Loan Inputs'!$B$17,C862+E862)+H862)</f>
        <v/>
      </c>
      <c r="E862" s="2" t="str">
        <f>IF(A862="","",C862*'Loan Inputs'!$B$15)</f>
        <v/>
      </c>
      <c r="F862" s="2" t="str">
        <f t="shared" si="39"/>
        <v/>
      </c>
      <c r="G862" s="2" t="str">
        <f t="shared" si="40"/>
        <v/>
      </c>
      <c r="H862" s="2" t="str">
        <f>IF(A862="","",MIN('Loan Inputs'!$B$18,MAX(0,C862+E862-'Loan Inputs'!$B$17)))</f>
        <v/>
      </c>
    </row>
    <row r="863" spans="1:8" ht="22" customHeight="1">
      <c r="A863" s="1" t="str">
        <f>IF(AND('Loan Inputs'!$B$12,857&lt;=IF('Loan Inputs'!$B$12,'Loan Inputs'!$B$7,0)*'Loan Inputs'!$B$14+5*'Loan Inputs'!$B$14,ISNUMBER(G862),G862&gt;0),857,"")</f>
        <v/>
      </c>
      <c r="B863" s="4" t="str">
        <f>IF(A863="","",IF('Loan Inputs'!$B$14=12,DATE(YEAR('Loan Inputs'!$B$8),MONTH('Loan Inputs'!$B$8)+A863,DAY('Loan Inputs'!$B$8)),'Loan Inputs'!$B$8+A863*IF('Loan Inputs'!$B$14=26,14,7)))</f>
        <v/>
      </c>
      <c r="C863" s="2" t="str">
        <f t="shared" si="41"/>
        <v/>
      </c>
      <c r="D863" s="2" t="str">
        <f>IF(A863="","",MIN('Loan Inputs'!$B$17,C863+E863)+H863)</f>
        <v/>
      </c>
      <c r="E863" s="2" t="str">
        <f>IF(A863="","",C863*'Loan Inputs'!$B$15)</f>
        <v/>
      </c>
      <c r="F863" s="2" t="str">
        <f t="shared" si="39"/>
        <v/>
      </c>
      <c r="G863" s="2" t="str">
        <f t="shared" si="40"/>
        <v/>
      </c>
      <c r="H863" s="2" t="str">
        <f>IF(A863="","",MIN('Loan Inputs'!$B$18,MAX(0,C863+E863-'Loan Inputs'!$B$17)))</f>
        <v/>
      </c>
    </row>
    <row r="864" spans="1:8" ht="22" customHeight="1">
      <c r="A864" s="1" t="str">
        <f>IF(AND('Loan Inputs'!$B$12,858&lt;=IF('Loan Inputs'!$B$12,'Loan Inputs'!$B$7,0)*'Loan Inputs'!$B$14+5*'Loan Inputs'!$B$14,ISNUMBER(G863),G863&gt;0),858,"")</f>
        <v/>
      </c>
      <c r="B864" s="4" t="str">
        <f>IF(A864="","",IF('Loan Inputs'!$B$14=12,DATE(YEAR('Loan Inputs'!$B$8),MONTH('Loan Inputs'!$B$8)+A864,DAY('Loan Inputs'!$B$8)),'Loan Inputs'!$B$8+A864*IF('Loan Inputs'!$B$14=26,14,7)))</f>
        <v/>
      </c>
      <c r="C864" s="2" t="str">
        <f t="shared" si="41"/>
        <v/>
      </c>
      <c r="D864" s="2" t="str">
        <f>IF(A864="","",MIN('Loan Inputs'!$B$17,C864+E864)+H864)</f>
        <v/>
      </c>
      <c r="E864" s="2" t="str">
        <f>IF(A864="","",C864*'Loan Inputs'!$B$15)</f>
        <v/>
      </c>
      <c r="F864" s="2" t="str">
        <f t="shared" si="39"/>
        <v/>
      </c>
      <c r="G864" s="2" t="str">
        <f t="shared" si="40"/>
        <v/>
      </c>
      <c r="H864" s="2" t="str">
        <f>IF(A864="","",MIN('Loan Inputs'!$B$18,MAX(0,C864+E864-'Loan Inputs'!$B$17)))</f>
        <v/>
      </c>
    </row>
    <row r="865" spans="1:8" ht="22" customHeight="1">
      <c r="A865" s="1" t="str">
        <f>IF(AND('Loan Inputs'!$B$12,859&lt;=IF('Loan Inputs'!$B$12,'Loan Inputs'!$B$7,0)*'Loan Inputs'!$B$14+5*'Loan Inputs'!$B$14,ISNUMBER(G864),G864&gt;0),859,"")</f>
        <v/>
      </c>
      <c r="B865" s="4" t="str">
        <f>IF(A865="","",IF('Loan Inputs'!$B$14=12,DATE(YEAR('Loan Inputs'!$B$8),MONTH('Loan Inputs'!$B$8)+A865,DAY('Loan Inputs'!$B$8)),'Loan Inputs'!$B$8+A865*IF('Loan Inputs'!$B$14=26,14,7)))</f>
        <v/>
      </c>
      <c r="C865" s="2" t="str">
        <f t="shared" si="41"/>
        <v/>
      </c>
      <c r="D865" s="2" t="str">
        <f>IF(A865="","",MIN('Loan Inputs'!$B$17,C865+E865)+H865)</f>
        <v/>
      </c>
      <c r="E865" s="2" t="str">
        <f>IF(A865="","",C865*'Loan Inputs'!$B$15)</f>
        <v/>
      </c>
      <c r="F865" s="2" t="str">
        <f t="shared" si="39"/>
        <v/>
      </c>
      <c r="G865" s="2" t="str">
        <f t="shared" si="40"/>
        <v/>
      </c>
      <c r="H865" s="2" t="str">
        <f>IF(A865="","",MIN('Loan Inputs'!$B$18,MAX(0,C865+E865-'Loan Inputs'!$B$17)))</f>
        <v/>
      </c>
    </row>
    <row r="866" spans="1:8" ht="22" customHeight="1">
      <c r="A866" s="1" t="str">
        <f>IF(AND('Loan Inputs'!$B$12,860&lt;=IF('Loan Inputs'!$B$12,'Loan Inputs'!$B$7,0)*'Loan Inputs'!$B$14+5*'Loan Inputs'!$B$14,ISNUMBER(G865),G865&gt;0),860,"")</f>
        <v/>
      </c>
      <c r="B866" s="4" t="str">
        <f>IF(A866="","",IF('Loan Inputs'!$B$14=12,DATE(YEAR('Loan Inputs'!$B$8),MONTH('Loan Inputs'!$B$8)+A866,DAY('Loan Inputs'!$B$8)),'Loan Inputs'!$B$8+A866*IF('Loan Inputs'!$B$14=26,14,7)))</f>
        <v/>
      </c>
      <c r="C866" s="2" t="str">
        <f t="shared" si="41"/>
        <v/>
      </c>
      <c r="D866" s="2" t="str">
        <f>IF(A866="","",MIN('Loan Inputs'!$B$17,C866+E866)+H866)</f>
        <v/>
      </c>
      <c r="E866" s="2" t="str">
        <f>IF(A866="","",C866*'Loan Inputs'!$B$15)</f>
        <v/>
      </c>
      <c r="F866" s="2" t="str">
        <f t="shared" si="39"/>
        <v/>
      </c>
      <c r="G866" s="2" t="str">
        <f t="shared" si="40"/>
        <v/>
      </c>
      <c r="H866" s="2" t="str">
        <f>IF(A866="","",MIN('Loan Inputs'!$B$18,MAX(0,C866+E866-'Loan Inputs'!$B$17)))</f>
        <v/>
      </c>
    </row>
    <row r="867" spans="1:8" ht="22" customHeight="1">
      <c r="A867" s="1" t="str">
        <f>IF(AND('Loan Inputs'!$B$12,861&lt;=IF('Loan Inputs'!$B$12,'Loan Inputs'!$B$7,0)*'Loan Inputs'!$B$14+5*'Loan Inputs'!$B$14,ISNUMBER(G866),G866&gt;0),861,"")</f>
        <v/>
      </c>
      <c r="B867" s="4" t="str">
        <f>IF(A867="","",IF('Loan Inputs'!$B$14=12,DATE(YEAR('Loan Inputs'!$B$8),MONTH('Loan Inputs'!$B$8)+A867,DAY('Loan Inputs'!$B$8)),'Loan Inputs'!$B$8+A867*IF('Loan Inputs'!$B$14=26,14,7)))</f>
        <v/>
      </c>
      <c r="C867" s="2" t="str">
        <f t="shared" si="41"/>
        <v/>
      </c>
      <c r="D867" s="2" t="str">
        <f>IF(A867="","",MIN('Loan Inputs'!$B$17,C867+E867)+H867)</f>
        <v/>
      </c>
      <c r="E867" s="2" t="str">
        <f>IF(A867="","",C867*'Loan Inputs'!$B$15)</f>
        <v/>
      </c>
      <c r="F867" s="2" t="str">
        <f t="shared" si="39"/>
        <v/>
      </c>
      <c r="G867" s="2" t="str">
        <f t="shared" si="40"/>
        <v/>
      </c>
      <c r="H867" s="2" t="str">
        <f>IF(A867="","",MIN('Loan Inputs'!$B$18,MAX(0,C867+E867-'Loan Inputs'!$B$17)))</f>
        <v/>
      </c>
    </row>
    <row r="868" spans="1:8" ht="22" customHeight="1">
      <c r="A868" s="1" t="str">
        <f>IF(AND('Loan Inputs'!$B$12,862&lt;=IF('Loan Inputs'!$B$12,'Loan Inputs'!$B$7,0)*'Loan Inputs'!$B$14+5*'Loan Inputs'!$B$14,ISNUMBER(G867),G867&gt;0),862,"")</f>
        <v/>
      </c>
      <c r="B868" s="4" t="str">
        <f>IF(A868="","",IF('Loan Inputs'!$B$14=12,DATE(YEAR('Loan Inputs'!$B$8),MONTH('Loan Inputs'!$B$8)+A868,DAY('Loan Inputs'!$B$8)),'Loan Inputs'!$B$8+A868*IF('Loan Inputs'!$B$14=26,14,7)))</f>
        <v/>
      </c>
      <c r="C868" s="2" t="str">
        <f t="shared" si="41"/>
        <v/>
      </c>
      <c r="D868" s="2" t="str">
        <f>IF(A868="","",MIN('Loan Inputs'!$B$17,C868+E868)+H868)</f>
        <v/>
      </c>
      <c r="E868" s="2" t="str">
        <f>IF(A868="","",C868*'Loan Inputs'!$B$15)</f>
        <v/>
      </c>
      <c r="F868" s="2" t="str">
        <f t="shared" si="39"/>
        <v/>
      </c>
      <c r="G868" s="2" t="str">
        <f t="shared" si="40"/>
        <v/>
      </c>
      <c r="H868" s="2" t="str">
        <f>IF(A868="","",MIN('Loan Inputs'!$B$18,MAX(0,C868+E868-'Loan Inputs'!$B$17)))</f>
        <v/>
      </c>
    </row>
    <row r="869" spans="1:8" ht="22" customHeight="1">
      <c r="A869" s="1" t="str">
        <f>IF(AND('Loan Inputs'!$B$12,863&lt;=IF('Loan Inputs'!$B$12,'Loan Inputs'!$B$7,0)*'Loan Inputs'!$B$14+5*'Loan Inputs'!$B$14,ISNUMBER(G868),G868&gt;0),863,"")</f>
        <v/>
      </c>
      <c r="B869" s="4" t="str">
        <f>IF(A869="","",IF('Loan Inputs'!$B$14=12,DATE(YEAR('Loan Inputs'!$B$8),MONTH('Loan Inputs'!$B$8)+A869,DAY('Loan Inputs'!$B$8)),'Loan Inputs'!$B$8+A869*IF('Loan Inputs'!$B$14=26,14,7)))</f>
        <v/>
      </c>
      <c r="C869" s="2" t="str">
        <f t="shared" si="41"/>
        <v/>
      </c>
      <c r="D869" s="2" t="str">
        <f>IF(A869="","",MIN('Loan Inputs'!$B$17,C869+E869)+H869)</f>
        <v/>
      </c>
      <c r="E869" s="2" t="str">
        <f>IF(A869="","",C869*'Loan Inputs'!$B$15)</f>
        <v/>
      </c>
      <c r="F869" s="2" t="str">
        <f t="shared" si="39"/>
        <v/>
      </c>
      <c r="G869" s="2" t="str">
        <f t="shared" si="40"/>
        <v/>
      </c>
      <c r="H869" s="2" t="str">
        <f>IF(A869="","",MIN('Loan Inputs'!$B$18,MAX(0,C869+E869-'Loan Inputs'!$B$17)))</f>
        <v/>
      </c>
    </row>
    <row r="870" spans="1:8" ht="22" customHeight="1">
      <c r="A870" s="1" t="str">
        <f>IF(AND('Loan Inputs'!$B$12,864&lt;=IF('Loan Inputs'!$B$12,'Loan Inputs'!$B$7,0)*'Loan Inputs'!$B$14+5*'Loan Inputs'!$B$14,ISNUMBER(G869),G869&gt;0),864,"")</f>
        <v/>
      </c>
      <c r="B870" s="4" t="str">
        <f>IF(A870="","",IF('Loan Inputs'!$B$14=12,DATE(YEAR('Loan Inputs'!$B$8),MONTH('Loan Inputs'!$B$8)+A870,DAY('Loan Inputs'!$B$8)),'Loan Inputs'!$B$8+A870*IF('Loan Inputs'!$B$14=26,14,7)))</f>
        <v/>
      </c>
      <c r="C870" s="2" t="str">
        <f t="shared" si="41"/>
        <v/>
      </c>
      <c r="D870" s="2" t="str">
        <f>IF(A870="","",MIN('Loan Inputs'!$B$17,C870+E870)+H870)</f>
        <v/>
      </c>
      <c r="E870" s="2" t="str">
        <f>IF(A870="","",C870*'Loan Inputs'!$B$15)</f>
        <v/>
      </c>
      <c r="F870" s="2" t="str">
        <f t="shared" si="39"/>
        <v/>
      </c>
      <c r="G870" s="2" t="str">
        <f t="shared" si="40"/>
        <v/>
      </c>
      <c r="H870" s="2" t="str">
        <f>IF(A870="","",MIN('Loan Inputs'!$B$18,MAX(0,C870+E870-'Loan Inputs'!$B$17)))</f>
        <v/>
      </c>
    </row>
    <row r="871" spans="1:8" ht="22" customHeight="1">
      <c r="A871" s="1" t="str">
        <f>IF(AND('Loan Inputs'!$B$12,865&lt;=IF('Loan Inputs'!$B$12,'Loan Inputs'!$B$7,0)*'Loan Inputs'!$B$14+5*'Loan Inputs'!$B$14,ISNUMBER(G870),G870&gt;0),865,"")</f>
        <v/>
      </c>
      <c r="B871" s="4" t="str">
        <f>IF(A871="","",IF('Loan Inputs'!$B$14=12,DATE(YEAR('Loan Inputs'!$B$8),MONTH('Loan Inputs'!$B$8)+A871,DAY('Loan Inputs'!$B$8)),'Loan Inputs'!$B$8+A871*IF('Loan Inputs'!$B$14=26,14,7)))</f>
        <v/>
      </c>
      <c r="C871" s="2" t="str">
        <f t="shared" si="41"/>
        <v/>
      </c>
      <c r="D871" s="2" t="str">
        <f>IF(A871="","",MIN('Loan Inputs'!$B$17,C871+E871)+H871)</f>
        <v/>
      </c>
      <c r="E871" s="2" t="str">
        <f>IF(A871="","",C871*'Loan Inputs'!$B$15)</f>
        <v/>
      </c>
      <c r="F871" s="2" t="str">
        <f t="shared" si="39"/>
        <v/>
      </c>
      <c r="G871" s="2" t="str">
        <f t="shared" si="40"/>
        <v/>
      </c>
      <c r="H871" s="2" t="str">
        <f>IF(A871="","",MIN('Loan Inputs'!$B$18,MAX(0,C871+E871-'Loan Inputs'!$B$17)))</f>
        <v/>
      </c>
    </row>
    <row r="872" spans="1:8" ht="22" customHeight="1">
      <c r="A872" s="1" t="str">
        <f>IF(AND('Loan Inputs'!$B$12,866&lt;=IF('Loan Inputs'!$B$12,'Loan Inputs'!$B$7,0)*'Loan Inputs'!$B$14+5*'Loan Inputs'!$B$14,ISNUMBER(G871),G871&gt;0),866,"")</f>
        <v/>
      </c>
      <c r="B872" s="4" t="str">
        <f>IF(A872="","",IF('Loan Inputs'!$B$14=12,DATE(YEAR('Loan Inputs'!$B$8),MONTH('Loan Inputs'!$B$8)+A872,DAY('Loan Inputs'!$B$8)),'Loan Inputs'!$B$8+A872*IF('Loan Inputs'!$B$14=26,14,7)))</f>
        <v/>
      </c>
      <c r="C872" s="2" t="str">
        <f t="shared" si="41"/>
        <v/>
      </c>
      <c r="D872" s="2" t="str">
        <f>IF(A872="","",MIN('Loan Inputs'!$B$17,C872+E872)+H872)</f>
        <v/>
      </c>
      <c r="E872" s="2" t="str">
        <f>IF(A872="","",C872*'Loan Inputs'!$B$15)</f>
        <v/>
      </c>
      <c r="F872" s="2" t="str">
        <f t="shared" si="39"/>
        <v/>
      </c>
      <c r="G872" s="2" t="str">
        <f t="shared" si="40"/>
        <v/>
      </c>
      <c r="H872" s="2" t="str">
        <f>IF(A872="","",MIN('Loan Inputs'!$B$18,MAX(0,C872+E872-'Loan Inputs'!$B$17)))</f>
        <v/>
      </c>
    </row>
    <row r="873" spans="1:8" ht="22" customHeight="1">
      <c r="A873" s="1" t="str">
        <f>IF(AND('Loan Inputs'!$B$12,867&lt;=IF('Loan Inputs'!$B$12,'Loan Inputs'!$B$7,0)*'Loan Inputs'!$B$14+5*'Loan Inputs'!$B$14,ISNUMBER(G872),G872&gt;0),867,"")</f>
        <v/>
      </c>
      <c r="B873" s="4" t="str">
        <f>IF(A873="","",IF('Loan Inputs'!$B$14=12,DATE(YEAR('Loan Inputs'!$B$8),MONTH('Loan Inputs'!$B$8)+A873,DAY('Loan Inputs'!$B$8)),'Loan Inputs'!$B$8+A873*IF('Loan Inputs'!$B$14=26,14,7)))</f>
        <v/>
      </c>
      <c r="C873" s="2" t="str">
        <f t="shared" si="41"/>
        <v/>
      </c>
      <c r="D873" s="2" t="str">
        <f>IF(A873="","",MIN('Loan Inputs'!$B$17,C873+E873)+H873)</f>
        <v/>
      </c>
      <c r="E873" s="2" t="str">
        <f>IF(A873="","",C873*'Loan Inputs'!$B$15)</f>
        <v/>
      </c>
      <c r="F873" s="2" t="str">
        <f t="shared" si="39"/>
        <v/>
      </c>
      <c r="G873" s="2" t="str">
        <f t="shared" si="40"/>
        <v/>
      </c>
      <c r="H873" s="2" t="str">
        <f>IF(A873="","",MIN('Loan Inputs'!$B$18,MAX(0,C873+E873-'Loan Inputs'!$B$17)))</f>
        <v/>
      </c>
    </row>
    <row r="874" spans="1:8" ht="22" customHeight="1">
      <c r="A874" s="1" t="str">
        <f>IF(AND('Loan Inputs'!$B$12,868&lt;=IF('Loan Inputs'!$B$12,'Loan Inputs'!$B$7,0)*'Loan Inputs'!$B$14+5*'Loan Inputs'!$B$14,ISNUMBER(G873),G873&gt;0),868,"")</f>
        <v/>
      </c>
      <c r="B874" s="4" t="str">
        <f>IF(A874="","",IF('Loan Inputs'!$B$14=12,DATE(YEAR('Loan Inputs'!$B$8),MONTH('Loan Inputs'!$B$8)+A874,DAY('Loan Inputs'!$B$8)),'Loan Inputs'!$B$8+A874*IF('Loan Inputs'!$B$14=26,14,7)))</f>
        <v/>
      </c>
      <c r="C874" s="2" t="str">
        <f t="shared" si="41"/>
        <v/>
      </c>
      <c r="D874" s="2" t="str">
        <f>IF(A874="","",MIN('Loan Inputs'!$B$17,C874+E874)+H874)</f>
        <v/>
      </c>
      <c r="E874" s="2" t="str">
        <f>IF(A874="","",C874*'Loan Inputs'!$B$15)</f>
        <v/>
      </c>
      <c r="F874" s="2" t="str">
        <f t="shared" si="39"/>
        <v/>
      </c>
      <c r="G874" s="2" t="str">
        <f t="shared" si="40"/>
        <v/>
      </c>
      <c r="H874" s="2" t="str">
        <f>IF(A874="","",MIN('Loan Inputs'!$B$18,MAX(0,C874+E874-'Loan Inputs'!$B$17)))</f>
        <v/>
      </c>
    </row>
    <row r="875" spans="1:8" ht="22" customHeight="1">
      <c r="A875" s="1" t="str">
        <f>IF(AND('Loan Inputs'!$B$12,869&lt;=IF('Loan Inputs'!$B$12,'Loan Inputs'!$B$7,0)*'Loan Inputs'!$B$14+5*'Loan Inputs'!$B$14,ISNUMBER(G874),G874&gt;0),869,"")</f>
        <v/>
      </c>
      <c r="B875" s="4" t="str">
        <f>IF(A875="","",IF('Loan Inputs'!$B$14=12,DATE(YEAR('Loan Inputs'!$B$8),MONTH('Loan Inputs'!$B$8)+A875,DAY('Loan Inputs'!$B$8)),'Loan Inputs'!$B$8+A875*IF('Loan Inputs'!$B$14=26,14,7)))</f>
        <v/>
      </c>
      <c r="C875" s="2" t="str">
        <f t="shared" si="41"/>
        <v/>
      </c>
      <c r="D875" s="2" t="str">
        <f>IF(A875="","",MIN('Loan Inputs'!$B$17,C875+E875)+H875)</f>
        <v/>
      </c>
      <c r="E875" s="2" t="str">
        <f>IF(A875="","",C875*'Loan Inputs'!$B$15)</f>
        <v/>
      </c>
      <c r="F875" s="2" t="str">
        <f t="shared" si="39"/>
        <v/>
      </c>
      <c r="G875" s="2" t="str">
        <f t="shared" si="40"/>
        <v/>
      </c>
      <c r="H875" s="2" t="str">
        <f>IF(A875="","",MIN('Loan Inputs'!$B$18,MAX(0,C875+E875-'Loan Inputs'!$B$17)))</f>
        <v/>
      </c>
    </row>
    <row r="876" spans="1:8" ht="22" customHeight="1">
      <c r="A876" s="1" t="str">
        <f>IF(AND('Loan Inputs'!$B$12,870&lt;=IF('Loan Inputs'!$B$12,'Loan Inputs'!$B$7,0)*'Loan Inputs'!$B$14+5*'Loan Inputs'!$B$14,ISNUMBER(G875),G875&gt;0),870,"")</f>
        <v/>
      </c>
      <c r="B876" s="4" t="str">
        <f>IF(A876="","",IF('Loan Inputs'!$B$14=12,DATE(YEAR('Loan Inputs'!$B$8),MONTH('Loan Inputs'!$B$8)+A876,DAY('Loan Inputs'!$B$8)),'Loan Inputs'!$B$8+A876*IF('Loan Inputs'!$B$14=26,14,7)))</f>
        <v/>
      </c>
      <c r="C876" s="2" t="str">
        <f t="shared" si="41"/>
        <v/>
      </c>
      <c r="D876" s="2" t="str">
        <f>IF(A876="","",MIN('Loan Inputs'!$B$17,C876+E876)+H876)</f>
        <v/>
      </c>
      <c r="E876" s="2" t="str">
        <f>IF(A876="","",C876*'Loan Inputs'!$B$15)</f>
        <v/>
      </c>
      <c r="F876" s="2" t="str">
        <f t="shared" si="39"/>
        <v/>
      </c>
      <c r="G876" s="2" t="str">
        <f t="shared" si="40"/>
        <v/>
      </c>
      <c r="H876" s="2" t="str">
        <f>IF(A876="","",MIN('Loan Inputs'!$B$18,MAX(0,C876+E876-'Loan Inputs'!$B$17)))</f>
        <v/>
      </c>
    </row>
    <row r="877" spans="1:8" ht="22" customHeight="1">
      <c r="A877" s="1" t="str">
        <f>IF(AND('Loan Inputs'!$B$12,871&lt;=IF('Loan Inputs'!$B$12,'Loan Inputs'!$B$7,0)*'Loan Inputs'!$B$14+5*'Loan Inputs'!$B$14,ISNUMBER(G876),G876&gt;0),871,"")</f>
        <v/>
      </c>
      <c r="B877" s="4" t="str">
        <f>IF(A877="","",IF('Loan Inputs'!$B$14=12,DATE(YEAR('Loan Inputs'!$B$8),MONTH('Loan Inputs'!$B$8)+A877,DAY('Loan Inputs'!$B$8)),'Loan Inputs'!$B$8+A877*IF('Loan Inputs'!$B$14=26,14,7)))</f>
        <v/>
      </c>
      <c r="C877" s="2" t="str">
        <f t="shared" si="41"/>
        <v/>
      </c>
      <c r="D877" s="2" t="str">
        <f>IF(A877="","",MIN('Loan Inputs'!$B$17,C877+E877)+H877)</f>
        <v/>
      </c>
      <c r="E877" s="2" t="str">
        <f>IF(A877="","",C877*'Loan Inputs'!$B$15)</f>
        <v/>
      </c>
      <c r="F877" s="2" t="str">
        <f t="shared" si="39"/>
        <v/>
      </c>
      <c r="G877" s="2" t="str">
        <f t="shared" si="40"/>
        <v/>
      </c>
      <c r="H877" s="2" t="str">
        <f>IF(A877="","",MIN('Loan Inputs'!$B$18,MAX(0,C877+E877-'Loan Inputs'!$B$17)))</f>
        <v/>
      </c>
    </row>
    <row r="878" spans="1:8" ht="22" customHeight="1">
      <c r="A878" s="1" t="str">
        <f>IF(AND('Loan Inputs'!$B$12,872&lt;=IF('Loan Inputs'!$B$12,'Loan Inputs'!$B$7,0)*'Loan Inputs'!$B$14+5*'Loan Inputs'!$B$14,ISNUMBER(G877),G877&gt;0),872,"")</f>
        <v/>
      </c>
      <c r="B878" s="4" t="str">
        <f>IF(A878="","",IF('Loan Inputs'!$B$14=12,DATE(YEAR('Loan Inputs'!$B$8),MONTH('Loan Inputs'!$B$8)+A878,DAY('Loan Inputs'!$B$8)),'Loan Inputs'!$B$8+A878*IF('Loan Inputs'!$B$14=26,14,7)))</f>
        <v/>
      </c>
      <c r="C878" s="2" t="str">
        <f t="shared" si="41"/>
        <v/>
      </c>
      <c r="D878" s="2" t="str">
        <f>IF(A878="","",MIN('Loan Inputs'!$B$17,C878+E878)+H878)</f>
        <v/>
      </c>
      <c r="E878" s="2" t="str">
        <f>IF(A878="","",C878*'Loan Inputs'!$B$15)</f>
        <v/>
      </c>
      <c r="F878" s="2" t="str">
        <f t="shared" si="39"/>
        <v/>
      </c>
      <c r="G878" s="2" t="str">
        <f t="shared" si="40"/>
        <v/>
      </c>
      <c r="H878" s="2" t="str">
        <f>IF(A878="","",MIN('Loan Inputs'!$B$18,MAX(0,C878+E878-'Loan Inputs'!$B$17)))</f>
        <v/>
      </c>
    </row>
    <row r="879" spans="1:8" ht="22" customHeight="1">
      <c r="A879" s="1" t="str">
        <f>IF(AND('Loan Inputs'!$B$12,873&lt;=IF('Loan Inputs'!$B$12,'Loan Inputs'!$B$7,0)*'Loan Inputs'!$B$14+5*'Loan Inputs'!$B$14,ISNUMBER(G878),G878&gt;0),873,"")</f>
        <v/>
      </c>
      <c r="B879" s="4" t="str">
        <f>IF(A879="","",IF('Loan Inputs'!$B$14=12,DATE(YEAR('Loan Inputs'!$B$8),MONTH('Loan Inputs'!$B$8)+A879,DAY('Loan Inputs'!$B$8)),'Loan Inputs'!$B$8+A879*IF('Loan Inputs'!$B$14=26,14,7)))</f>
        <v/>
      </c>
      <c r="C879" s="2" t="str">
        <f t="shared" si="41"/>
        <v/>
      </c>
      <c r="D879" s="2" t="str">
        <f>IF(A879="","",MIN('Loan Inputs'!$B$17,C879+E879)+H879)</f>
        <v/>
      </c>
      <c r="E879" s="2" t="str">
        <f>IF(A879="","",C879*'Loan Inputs'!$B$15)</f>
        <v/>
      </c>
      <c r="F879" s="2" t="str">
        <f t="shared" si="39"/>
        <v/>
      </c>
      <c r="G879" s="2" t="str">
        <f t="shared" si="40"/>
        <v/>
      </c>
      <c r="H879" s="2" t="str">
        <f>IF(A879="","",MIN('Loan Inputs'!$B$18,MAX(0,C879+E879-'Loan Inputs'!$B$17)))</f>
        <v/>
      </c>
    </row>
    <row r="880" spans="1:8" ht="22" customHeight="1">
      <c r="A880" s="1" t="str">
        <f>IF(AND('Loan Inputs'!$B$12,874&lt;=IF('Loan Inputs'!$B$12,'Loan Inputs'!$B$7,0)*'Loan Inputs'!$B$14+5*'Loan Inputs'!$B$14,ISNUMBER(G879),G879&gt;0),874,"")</f>
        <v/>
      </c>
      <c r="B880" s="4" t="str">
        <f>IF(A880="","",IF('Loan Inputs'!$B$14=12,DATE(YEAR('Loan Inputs'!$B$8),MONTH('Loan Inputs'!$B$8)+A880,DAY('Loan Inputs'!$B$8)),'Loan Inputs'!$B$8+A880*IF('Loan Inputs'!$B$14=26,14,7)))</f>
        <v/>
      </c>
      <c r="C880" s="2" t="str">
        <f t="shared" si="41"/>
        <v/>
      </c>
      <c r="D880" s="2" t="str">
        <f>IF(A880="","",MIN('Loan Inputs'!$B$17,C880+E880)+H880)</f>
        <v/>
      </c>
      <c r="E880" s="2" t="str">
        <f>IF(A880="","",C880*'Loan Inputs'!$B$15)</f>
        <v/>
      </c>
      <c r="F880" s="2" t="str">
        <f t="shared" si="39"/>
        <v/>
      </c>
      <c r="G880" s="2" t="str">
        <f t="shared" si="40"/>
        <v/>
      </c>
      <c r="H880" s="2" t="str">
        <f>IF(A880="","",MIN('Loan Inputs'!$B$18,MAX(0,C880+E880-'Loan Inputs'!$B$17)))</f>
        <v/>
      </c>
    </row>
    <row r="881" spans="1:8" ht="22" customHeight="1">
      <c r="A881" s="1" t="str">
        <f>IF(AND('Loan Inputs'!$B$12,875&lt;=IF('Loan Inputs'!$B$12,'Loan Inputs'!$B$7,0)*'Loan Inputs'!$B$14+5*'Loan Inputs'!$B$14,ISNUMBER(G880),G880&gt;0),875,"")</f>
        <v/>
      </c>
      <c r="B881" s="4" t="str">
        <f>IF(A881="","",IF('Loan Inputs'!$B$14=12,DATE(YEAR('Loan Inputs'!$B$8),MONTH('Loan Inputs'!$B$8)+A881,DAY('Loan Inputs'!$B$8)),'Loan Inputs'!$B$8+A881*IF('Loan Inputs'!$B$14=26,14,7)))</f>
        <v/>
      </c>
      <c r="C881" s="2" t="str">
        <f t="shared" si="41"/>
        <v/>
      </c>
      <c r="D881" s="2" t="str">
        <f>IF(A881="","",MIN('Loan Inputs'!$B$17,C881+E881)+H881)</f>
        <v/>
      </c>
      <c r="E881" s="2" t="str">
        <f>IF(A881="","",C881*'Loan Inputs'!$B$15)</f>
        <v/>
      </c>
      <c r="F881" s="2" t="str">
        <f t="shared" si="39"/>
        <v/>
      </c>
      <c r="G881" s="2" t="str">
        <f t="shared" si="40"/>
        <v/>
      </c>
      <c r="H881" s="2" t="str">
        <f>IF(A881="","",MIN('Loan Inputs'!$B$18,MAX(0,C881+E881-'Loan Inputs'!$B$17)))</f>
        <v/>
      </c>
    </row>
    <row r="882" spans="1:8" ht="22" customHeight="1">
      <c r="A882" s="1" t="str">
        <f>IF(AND('Loan Inputs'!$B$12,876&lt;=IF('Loan Inputs'!$B$12,'Loan Inputs'!$B$7,0)*'Loan Inputs'!$B$14+5*'Loan Inputs'!$B$14,ISNUMBER(G881),G881&gt;0),876,"")</f>
        <v/>
      </c>
      <c r="B882" s="4" t="str">
        <f>IF(A882="","",IF('Loan Inputs'!$B$14=12,DATE(YEAR('Loan Inputs'!$B$8),MONTH('Loan Inputs'!$B$8)+A882,DAY('Loan Inputs'!$B$8)),'Loan Inputs'!$B$8+A882*IF('Loan Inputs'!$B$14=26,14,7)))</f>
        <v/>
      </c>
      <c r="C882" s="2" t="str">
        <f t="shared" si="41"/>
        <v/>
      </c>
      <c r="D882" s="2" t="str">
        <f>IF(A882="","",MIN('Loan Inputs'!$B$17,C882+E882)+H882)</f>
        <v/>
      </c>
      <c r="E882" s="2" t="str">
        <f>IF(A882="","",C882*'Loan Inputs'!$B$15)</f>
        <v/>
      </c>
      <c r="F882" s="2" t="str">
        <f t="shared" si="39"/>
        <v/>
      </c>
      <c r="G882" s="2" t="str">
        <f t="shared" si="40"/>
        <v/>
      </c>
      <c r="H882" s="2" t="str">
        <f>IF(A882="","",MIN('Loan Inputs'!$B$18,MAX(0,C882+E882-'Loan Inputs'!$B$17)))</f>
        <v/>
      </c>
    </row>
    <row r="883" spans="1:8" ht="22" customHeight="1">
      <c r="A883" s="1" t="str">
        <f>IF(AND('Loan Inputs'!$B$12,877&lt;=IF('Loan Inputs'!$B$12,'Loan Inputs'!$B$7,0)*'Loan Inputs'!$B$14+5*'Loan Inputs'!$B$14,ISNUMBER(G882),G882&gt;0),877,"")</f>
        <v/>
      </c>
      <c r="B883" s="4" t="str">
        <f>IF(A883="","",IF('Loan Inputs'!$B$14=12,DATE(YEAR('Loan Inputs'!$B$8),MONTH('Loan Inputs'!$B$8)+A883,DAY('Loan Inputs'!$B$8)),'Loan Inputs'!$B$8+A883*IF('Loan Inputs'!$B$14=26,14,7)))</f>
        <v/>
      </c>
      <c r="C883" s="2" t="str">
        <f t="shared" si="41"/>
        <v/>
      </c>
      <c r="D883" s="2" t="str">
        <f>IF(A883="","",MIN('Loan Inputs'!$B$17,C883+E883)+H883)</f>
        <v/>
      </c>
      <c r="E883" s="2" t="str">
        <f>IF(A883="","",C883*'Loan Inputs'!$B$15)</f>
        <v/>
      </c>
      <c r="F883" s="2" t="str">
        <f t="shared" si="39"/>
        <v/>
      </c>
      <c r="G883" s="2" t="str">
        <f t="shared" si="40"/>
        <v/>
      </c>
      <c r="H883" s="2" t="str">
        <f>IF(A883="","",MIN('Loan Inputs'!$B$18,MAX(0,C883+E883-'Loan Inputs'!$B$17)))</f>
        <v/>
      </c>
    </row>
    <row r="884" spans="1:8" ht="22" customHeight="1">
      <c r="A884" s="1" t="str">
        <f>IF(AND('Loan Inputs'!$B$12,878&lt;=IF('Loan Inputs'!$B$12,'Loan Inputs'!$B$7,0)*'Loan Inputs'!$B$14+5*'Loan Inputs'!$B$14,ISNUMBER(G883),G883&gt;0),878,"")</f>
        <v/>
      </c>
      <c r="B884" s="4" t="str">
        <f>IF(A884="","",IF('Loan Inputs'!$B$14=12,DATE(YEAR('Loan Inputs'!$B$8),MONTH('Loan Inputs'!$B$8)+A884,DAY('Loan Inputs'!$B$8)),'Loan Inputs'!$B$8+A884*IF('Loan Inputs'!$B$14=26,14,7)))</f>
        <v/>
      </c>
      <c r="C884" s="2" t="str">
        <f t="shared" si="41"/>
        <v/>
      </c>
      <c r="D884" s="2" t="str">
        <f>IF(A884="","",MIN('Loan Inputs'!$B$17,C884+E884)+H884)</f>
        <v/>
      </c>
      <c r="E884" s="2" t="str">
        <f>IF(A884="","",C884*'Loan Inputs'!$B$15)</f>
        <v/>
      </c>
      <c r="F884" s="2" t="str">
        <f t="shared" si="39"/>
        <v/>
      </c>
      <c r="G884" s="2" t="str">
        <f t="shared" si="40"/>
        <v/>
      </c>
      <c r="H884" s="2" t="str">
        <f>IF(A884="","",MIN('Loan Inputs'!$B$18,MAX(0,C884+E884-'Loan Inputs'!$B$17)))</f>
        <v/>
      </c>
    </row>
    <row r="885" spans="1:8" ht="22" customHeight="1">
      <c r="A885" s="1" t="str">
        <f>IF(AND('Loan Inputs'!$B$12,879&lt;=IF('Loan Inputs'!$B$12,'Loan Inputs'!$B$7,0)*'Loan Inputs'!$B$14+5*'Loan Inputs'!$B$14,ISNUMBER(G884),G884&gt;0),879,"")</f>
        <v/>
      </c>
      <c r="B885" s="4" t="str">
        <f>IF(A885="","",IF('Loan Inputs'!$B$14=12,DATE(YEAR('Loan Inputs'!$B$8),MONTH('Loan Inputs'!$B$8)+A885,DAY('Loan Inputs'!$B$8)),'Loan Inputs'!$B$8+A885*IF('Loan Inputs'!$B$14=26,14,7)))</f>
        <v/>
      </c>
      <c r="C885" s="2" t="str">
        <f t="shared" si="41"/>
        <v/>
      </c>
      <c r="D885" s="2" t="str">
        <f>IF(A885="","",MIN('Loan Inputs'!$B$17,C885+E885)+H885)</f>
        <v/>
      </c>
      <c r="E885" s="2" t="str">
        <f>IF(A885="","",C885*'Loan Inputs'!$B$15)</f>
        <v/>
      </c>
      <c r="F885" s="2" t="str">
        <f t="shared" si="39"/>
        <v/>
      </c>
      <c r="G885" s="2" t="str">
        <f t="shared" si="40"/>
        <v/>
      </c>
      <c r="H885" s="2" t="str">
        <f>IF(A885="","",MIN('Loan Inputs'!$B$18,MAX(0,C885+E885-'Loan Inputs'!$B$17)))</f>
        <v/>
      </c>
    </row>
    <row r="886" spans="1:8" ht="22" customHeight="1">
      <c r="A886" s="1" t="str">
        <f>IF(AND('Loan Inputs'!$B$12,880&lt;=IF('Loan Inputs'!$B$12,'Loan Inputs'!$B$7,0)*'Loan Inputs'!$B$14+5*'Loan Inputs'!$B$14,ISNUMBER(G885),G885&gt;0),880,"")</f>
        <v/>
      </c>
      <c r="B886" s="4" t="str">
        <f>IF(A886="","",IF('Loan Inputs'!$B$14=12,DATE(YEAR('Loan Inputs'!$B$8),MONTH('Loan Inputs'!$B$8)+A886,DAY('Loan Inputs'!$B$8)),'Loan Inputs'!$B$8+A886*IF('Loan Inputs'!$B$14=26,14,7)))</f>
        <v/>
      </c>
      <c r="C886" s="2" t="str">
        <f t="shared" si="41"/>
        <v/>
      </c>
      <c r="D886" s="2" t="str">
        <f>IF(A886="","",MIN('Loan Inputs'!$B$17,C886+E886)+H886)</f>
        <v/>
      </c>
      <c r="E886" s="2" t="str">
        <f>IF(A886="","",C886*'Loan Inputs'!$B$15)</f>
        <v/>
      </c>
      <c r="F886" s="2" t="str">
        <f t="shared" si="39"/>
        <v/>
      </c>
      <c r="G886" s="2" t="str">
        <f t="shared" si="40"/>
        <v/>
      </c>
      <c r="H886" s="2" t="str">
        <f>IF(A886="","",MIN('Loan Inputs'!$B$18,MAX(0,C886+E886-'Loan Inputs'!$B$17)))</f>
        <v/>
      </c>
    </row>
    <row r="887" spans="1:8" ht="22" customHeight="1">
      <c r="A887" s="1" t="str">
        <f>IF(AND('Loan Inputs'!$B$12,881&lt;=IF('Loan Inputs'!$B$12,'Loan Inputs'!$B$7,0)*'Loan Inputs'!$B$14+5*'Loan Inputs'!$B$14,ISNUMBER(G886),G886&gt;0),881,"")</f>
        <v/>
      </c>
      <c r="B887" s="4" t="str">
        <f>IF(A887="","",IF('Loan Inputs'!$B$14=12,DATE(YEAR('Loan Inputs'!$B$8),MONTH('Loan Inputs'!$B$8)+A887,DAY('Loan Inputs'!$B$8)),'Loan Inputs'!$B$8+A887*IF('Loan Inputs'!$B$14=26,14,7)))</f>
        <v/>
      </c>
      <c r="C887" s="2" t="str">
        <f t="shared" si="41"/>
        <v/>
      </c>
      <c r="D887" s="2" t="str">
        <f>IF(A887="","",MIN('Loan Inputs'!$B$17,C887+E887)+H887)</f>
        <v/>
      </c>
      <c r="E887" s="2" t="str">
        <f>IF(A887="","",C887*'Loan Inputs'!$B$15)</f>
        <v/>
      </c>
      <c r="F887" s="2" t="str">
        <f t="shared" si="39"/>
        <v/>
      </c>
      <c r="G887" s="2" t="str">
        <f t="shared" si="40"/>
        <v/>
      </c>
      <c r="H887" s="2" t="str">
        <f>IF(A887="","",MIN('Loan Inputs'!$B$18,MAX(0,C887+E887-'Loan Inputs'!$B$17)))</f>
        <v/>
      </c>
    </row>
    <row r="888" spans="1:8" ht="22" customHeight="1">
      <c r="A888" s="1" t="str">
        <f>IF(AND('Loan Inputs'!$B$12,882&lt;=IF('Loan Inputs'!$B$12,'Loan Inputs'!$B$7,0)*'Loan Inputs'!$B$14+5*'Loan Inputs'!$B$14,ISNUMBER(G887),G887&gt;0),882,"")</f>
        <v/>
      </c>
      <c r="B888" s="4" t="str">
        <f>IF(A888="","",IF('Loan Inputs'!$B$14=12,DATE(YEAR('Loan Inputs'!$B$8),MONTH('Loan Inputs'!$B$8)+A888,DAY('Loan Inputs'!$B$8)),'Loan Inputs'!$B$8+A888*IF('Loan Inputs'!$B$14=26,14,7)))</f>
        <v/>
      </c>
      <c r="C888" s="2" t="str">
        <f t="shared" si="41"/>
        <v/>
      </c>
      <c r="D888" s="2" t="str">
        <f>IF(A888="","",MIN('Loan Inputs'!$B$17,C888+E888)+H888)</f>
        <v/>
      </c>
      <c r="E888" s="2" t="str">
        <f>IF(A888="","",C888*'Loan Inputs'!$B$15)</f>
        <v/>
      </c>
      <c r="F888" s="2" t="str">
        <f t="shared" si="39"/>
        <v/>
      </c>
      <c r="G888" s="2" t="str">
        <f t="shared" si="40"/>
        <v/>
      </c>
      <c r="H888" s="2" t="str">
        <f>IF(A888="","",MIN('Loan Inputs'!$B$18,MAX(0,C888+E888-'Loan Inputs'!$B$17)))</f>
        <v/>
      </c>
    </row>
    <row r="889" spans="1:8" ht="22" customHeight="1">
      <c r="A889" s="1" t="str">
        <f>IF(AND('Loan Inputs'!$B$12,883&lt;=IF('Loan Inputs'!$B$12,'Loan Inputs'!$B$7,0)*'Loan Inputs'!$B$14+5*'Loan Inputs'!$B$14,ISNUMBER(G888),G888&gt;0),883,"")</f>
        <v/>
      </c>
      <c r="B889" s="4" t="str">
        <f>IF(A889="","",IF('Loan Inputs'!$B$14=12,DATE(YEAR('Loan Inputs'!$B$8),MONTH('Loan Inputs'!$B$8)+A889,DAY('Loan Inputs'!$B$8)),'Loan Inputs'!$B$8+A889*IF('Loan Inputs'!$B$14=26,14,7)))</f>
        <v/>
      </c>
      <c r="C889" s="2" t="str">
        <f t="shared" si="41"/>
        <v/>
      </c>
      <c r="D889" s="2" t="str">
        <f>IF(A889="","",MIN('Loan Inputs'!$B$17,C889+E889)+H889)</f>
        <v/>
      </c>
      <c r="E889" s="2" t="str">
        <f>IF(A889="","",C889*'Loan Inputs'!$B$15)</f>
        <v/>
      </c>
      <c r="F889" s="2" t="str">
        <f t="shared" si="39"/>
        <v/>
      </c>
      <c r="G889" s="2" t="str">
        <f t="shared" si="40"/>
        <v/>
      </c>
      <c r="H889" s="2" t="str">
        <f>IF(A889="","",MIN('Loan Inputs'!$B$18,MAX(0,C889+E889-'Loan Inputs'!$B$17)))</f>
        <v/>
      </c>
    </row>
    <row r="890" spans="1:8" ht="22" customHeight="1">
      <c r="A890" s="1" t="str">
        <f>IF(AND('Loan Inputs'!$B$12,884&lt;=IF('Loan Inputs'!$B$12,'Loan Inputs'!$B$7,0)*'Loan Inputs'!$B$14+5*'Loan Inputs'!$B$14,ISNUMBER(G889),G889&gt;0),884,"")</f>
        <v/>
      </c>
      <c r="B890" s="4" t="str">
        <f>IF(A890="","",IF('Loan Inputs'!$B$14=12,DATE(YEAR('Loan Inputs'!$B$8),MONTH('Loan Inputs'!$B$8)+A890,DAY('Loan Inputs'!$B$8)),'Loan Inputs'!$B$8+A890*IF('Loan Inputs'!$B$14=26,14,7)))</f>
        <v/>
      </c>
      <c r="C890" s="2" t="str">
        <f t="shared" si="41"/>
        <v/>
      </c>
      <c r="D890" s="2" t="str">
        <f>IF(A890="","",MIN('Loan Inputs'!$B$17,C890+E890)+H890)</f>
        <v/>
      </c>
      <c r="E890" s="2" t="str">
        <f>IF(A890="","",C890*'Loan Inputs'!$B$15)</f>
        <v/>
      </c>
      <c r="F890" s="2" t="str">
        <f t="shared" si="39"/>
        <v/>
      </c>
      <c r="G890" s="2" t="str">
        <f t="shared" si="40"/>
        <v/>
      </c>
      <c r="H890" s="2" t="str">
        <f>IF(A890="","",MIN('Loan Inputs'!$B$18,MAX(0,C890+E890-'Loan Inputs'!$B$17)))</f>
        <v/>
      </c>
    </row>
    <row r="891" spans="1:8" ht="22" customHeight="1">
      <c r="A891" s="1" t="str">
        <f>IF(AND('Loan Inputs'!$B$12,885&lt;=IF('Loan Inputs'!$B$12,'Loan Inputs'!$B$7,0)*'Loan Inputs'!$B$14+5*'Loan Inputs'!$B$14,ISNUMBER(G890),G890&gt;0),885,"")</f>
        <v/>
      </c>
      <c r="B891" s="4" t="str">
        <f>IF(A891="","",IF('Loan Inputs'!$B$14=12,DATE(YEAR('Loan Inputs'!$B$8),MONTH('Loan Inputs'!$B$8)+A891,DAY('Loan Inputs'!$B$8)),'Loan Inputs'!$B$8+A891*IF('Loan Inputs'!$B$14=26,14,7)))</f>
        <v/>
      </c>
      <c r="C891" s="2" t="str">
        <f t="shared" si="41"/>
        <v/>
      </c>
      <c r="D891" s="2" t="str">
        <f>IF(A891="","",MIN('Loan Inputs'!$B$17,C891+E891)+H891)</f>
        <v/>
      </c>
      <c r="E891" s="2" t="str">
        <f>IF(A891="","",C891*'Loan Inputs'!$B$15)</f>
        <v/>
      </c>
      <c r="F891" s="2" t="str">
        <f t="shared" si="39"/>
        <v/>
      </c>
      <c r="G891" s="2" t="str">
        <f t="shared" si="40"/>
        <v/>
      </c>
      <c r="H891" s="2" t="str">
        <f>IF(A891="","",MIN('Loan Inputs'!$B$18,MAX(0,C891+E891-'Loan Inputs'!$B$17)))</f>
        <v/>
      </c>
    </row>
    <row r="892" spans="1:8" ht="22" customHeight="1">
      <c r="A892" s="1" t="str">
        <f>IF(AND('Loan Inputs'!$B$12,886&lt;=IF('Loan Inputs'!$B$12,'Loan Inputs'!$B$7,0)*'Loan Inputs'!$B$14+5*'Loan Inputs'!$B$14,ISNUMBER(G891),G891&gt;0),886,"")</f>
        <v/>
      </c>
      <c r="B892" s="4" t="str">
        <f>IF(A892="","",IF('Loan Inputs'!$B$14=12,DATE(YEAR('Loan Inputs'!$B$8),MONTH('Loan Inputs'!$B$8)+A892,DAY('Loan Inputs'!$B$8)),'Loan Inputs'!$B$8+A892*IF('Loan Inputs'!$B$14=26,14,7)))</f>
        <v/>
      </c>
      <c r="C892" s="2" t="str">
        <f t="shared" si="41"/>
        <v/>
      </c>
      <c r="D892" s="2" t="str">
        <f>IF(A892="","",MIN('Loan Inputs'!$B$17,C892+E892)+H892)</f>
        <v/>
      </c>
      <c r="E892" s="2" t="str">
        <f>IF(A892="","",C892*'Loan Inputs'!$B$15)</f>
        <v/>
      </c>
      <c r="F892" s="2" t="str">
        <f t="shared" si="39"/>
        <v/>
      </c>
      <c r="G892" s="2" t="str">
        <f t="shared" si="40"/>
        <v/>
      </c>
      <c r="H892" s="2" t="str">
        <f>IF(A892="","",MIN('Loan Inputs'!$B$18,MAX(0,C892+E892-'Loan Inputs'!$B$17)))</f>
        <v/>
      </c>
    </row>
    <row r="893" spans="1:8" ht="22" customHeight="1">
      <c r="A893" s="1" t="str">
        <f>IF(AND('Loan Inputs'!$B$12,887&lt;=IF('Loan Inputs'!$B$12,'Loan Inputs'!$B$7,0)*'Loan Inputs'!$B$14+5*'Loan Inputs'!$B$14,ISNUMBER(G892),G892&gt;0),887,"")</f>
        <v/>
      </c>
      <c r="B893" s="4" t="str">
        <f>IF(A893="","",IF('Loan Inputs'!$B$14=12,DATE(YEAR('Loan Inputs'!$B$8),MONTH('Loan Inputs'!$B$8)+A893,DAY('Loan Inputs'!$B$8)),'Loan Inputs'!$B$8+A893*IF('Loan Inputs'!$B$14=26,14,7)))</f>
        <v/>
      </c>
      <c r="C893" s="2" t="str">
        <f t="shared" si="41"/>
        <v/>
      </c>
      <c r="D893" s="2" t="str">
        <f>IF(A893="","",MIN('Loan Inputs'!$B$17,C893+E893)+H893)</f>
        <v/>
      </c>
      <c r="E893" s="2" t="str">
        <f>IF(A893="","",C893*'Loan Inputs'!$B$15)</f>
        <v/>
      </c>
      <c r="F893" s="2" t="str">
        <f t="shared" si="39"/>
        <v/>
      </c>
      <c r="G893" s="2" t="str">
        <f t="shared" si="40"/>
        <v/>
      </c>
      <c r="H893" s="2" t="str">
        <f>IF(A893="","",MIN('Loan Inputs'!$B$18,MAX(0,C893+E893-'Loan Inputs'!$B$17)))</f>
        <v/>
      </c>
    </row>
    <row r="894" spans="1:8" ht="22" customHeight="1">
      <c r="A894" s="1" t="str">
        <f>IF(AND('Loan Inputs'!$B$12,888&lt;=IF('Loan Inputs'!$B$12,'Loan Inputs'!$B$7,0)*'Loan Inputs'!$B$14+5*'Loan Inputs'!$B$14,ISNUMBER(G893),G893&gt;0),888,"")</f>
        <v/>
      </c>
      <c r="B894" s="4" t="str">
        <f>IF(A894="","",IF('Loan Inputs'!$B$14=12,DATE(YEAR('Loan Inputs'!$B$8),MONTH('Loan Inputs'!$B$8)+A894,DAY('Loan Inputs'!$B$8)),'Loan Inputs'!$B$8+A894*IF('Loan Inputs'!$B$14=26,14,7)))</f>
        <v/>
      </c>
      <c r="C894" s="2" t="str">
        <f t="shared" si="41"/>
        <v/>
      </c>
      <c r="D894" s="2" t="str">
        <f>IF(A894="","",MIN('Loan Inputs'!$B$17,C894+E894)+H894)</f>
        <v/>
      </c>
      <c r="E894" s="2" t="str">
        <f>IF(A894="","",C894*'Loan Inputs'!$B$15)</f>
        <v/>
      </c>
      <c r="F894" s="2" t="str">
        <f t="shared" si="39"/>
        <v/>
      </c>
      <c r="G894" s="2" t="str">
        <f t="shared" si="40"/>
        <v/>
      </c>
      <c r="H894" s="2" t="str">
        <f>IF(A894="","",MIN('Loan Inputs'!$B$18,MAX(0,C894+E894-'Loan Inputs'!$B$17)))</f>
        <v/>
      </c>
    </row>
    <row r="895" spans="1:8" ht="22" customHeight="1">
      <c r="A895" s="1" t="str">
        <f>IF(AND('Loan Inputs'!$B$12,889&lt;=IF('Loan Inputs'!$B$12,'Loan Inputs'!$B$7,0)*'Loan Inputs'!$B$14+5*'Loan Inputs'!$B$14,ISNUMBER(G894),G894&gt;0),889,"")</f>
        <v/>
      </c>
      <c r="B895" s="4" t="str">
        <f>IF(A895="","",IF('Loan Inputs'!$B$14=12,DATE(YEAR('Loan Inputs'!$B$8),MONTH('Loan Inputs'!$B$8)+A895,DAY('Loan Inputs'!$B$8)),'Loan Inputs'!$B$8+A895*IF('Loan Inputs'!$B$14=26,14,7)))</f>
        <v/>
      </c>
      <c r="C895" s="2" t="str">
        <f t="shared" si="41"/>
        <v/>
      </c>
      <c r="D895" s="2" t="str">
        <f>IF(A895="","",MIN('Loan Inputs'!$B$17,C895+E895)+H895)</f>
        <v/>
      </c>
      <c r="E895" s="2" t="str">
        <f>IF(A895="","",C895*'Loan Inputs'!$B$15)</f>
        <v/>
      </c>
      <c r="F895" s="2" t="str">
        <f t="shared" si="39"/>
        <v/>
      </c>
      <c r="G895" s="2" t="str">
        <f t="shared" si="40"/>
        <v/>
      </c>
      <c r="H895" s="2" t="str">
        <f>IF(A895="","",MIN('Loan Inputs'!$B$18,MAX(0,C895+E895-'Loan Inputs'!$B$17)))</f>
        <v/>
      </c>
    </row>
    <row r="896" spans="1:8" ht="22" customHeight="1">
      <c r="A896" s="1" t="str">
        <f>IF(AND('Loan Inputs'!$B$12,890&lt;=IF('Loan Inputs'!$B$12,'Loan Inputs'!$B$7,0)*'Loan Inputs'!$B$14+5*'Loan Inputs'!$B$14,ISNUMBER(G895),G895&gt;0),890,"")</f>
        <v/>
      </c>
      <c r="B896" s="4" t="str">
        <f>IF(A896="","",IF('Loan Inputs'!$B$14=12,DATE(YEAR('Loan Inputs'!$B$8),MONTH('Loan Inputs'!$B$8)+A896,DAY('Loan Inputs'!$B$8)),'Loan Inputs'!$B$8+A896*IF('Loan Inputs'!$B$14=26,14,7)))</f>
        <v/>
      </c>
      <c r="C896" s="2" t="str">
        <f t="shared" si="41"/>
        <v/>
      </c>
      <c r="D896" s="2" t="str">
        <f>IF(A896="","",MIN('Loan Inputs'!$B$17,C896+E896)+H896)</f>
        <v/>
      </c>
      <c r="E896" s="2" t="str">
        <f>IF(A896="","",C896*'Loan Inputs'!$B$15)</f>
        <v/>
      </c>
      <c r="F896" s="2" t="str">
        <f t="shared" si="39"/>
        <v/>
      </c>
      <c r="G896" s="2" t="str">
        <f t="shared" si="40"/>
        <v/>
      </c>
      <c r="H896" s="2" t="str">
        <f>IF(A896="","",MIN('Loan Inputs'!$B$18,MAX(0,C896+E896-'Loan Inputs'!$B$17)))</f>
        <v/>
      </c>
    </row>
    <row r="897" spans="1:8" ht="22" customHeight="1">
      <c r="A897" s="1" t="str">
        <f>IF(AND('Loan Inputs'!$B$12,891&lt;=IF('Loan Inputs'!$B$12,'Loan Inputs'!$B$7,0)*'Loan Inputs'!$B$14+5*'Loan Inputs'!$B$14,ISNUMBER(G896),G896&gt;0),891,"")</f>
        <v/>
      </c>
      <c r="B897" s="4" t="str">
        <f>IF(A897="","",IF('Loan Inputs'!$B$14=12,DATE(YEAR('Loan Inputs'!$B$8),MONTH('Loan Inputs'!$B$8)+A897,DAY('Loan Inputs'!$B$8)),'Loan Inputs'!$B$8+A897*IF('Loan Inputs'!$B$14=26,14,7)))</f>
        <v/>
      </c>
      <c r="C897" s="2" t="str">
        <f t="shared" si="41"/>
        <v/>
      </c>
      <c r="D897" s="2" t="str">
        <f>IF(A897="","",MIN('Loan Inputs'!$B$17,C897+E897)+H897)</f>
        <v/>
      </c>
      <c r="E897" s="2" t="str">
        <f>IF(A897="","",C897*'Loan Inputs'!$B$15)</f>
        <v/>
      </c>
      <c r="F897" s="2" t="str">
        <f t="shared" si="39"/>
        <v/>
      </c>
      <c r="G897" s="2" t="str">
        <f t="shared" si="40"/>
        <v/>
      </c>
      <c r="H897" s="2" t="str">
        <f>IF(A897="","",MIN('Loan Inputs'!$B$18,MAX(0,C897+E897-'Loan Inputs'!$B$17)))</f>
        <v/>
      </c>
    </row>
    <row r="898" spans="1:8" ht="22" customHeight="1">
      <c r="A898" s="1" t="str">
        <f>IF(AND('Loan Inputs'!$B$12,892&lt;=IF('Loan Inputs'!$B$12,'Loan Inputs'!$B$7,0)*'Loan Inputs'!$B$14+5*'Loan Inputs'!$B$14,ISNUMBER(G897),G897&gt;0),892,"")</f>
        <v/>
      </c>
      <c r="B898" s="4" t="str">
        <f>IF(A898="","",IF('Loan Inputs'!$B$14=12,DATE(YEAR('Loan Inputs'!$B$8),MONTH('Loan Inputs'!$B$8)+A898,DAY('Loan Inputs'!$B$8)),'Loan Inputs'!$B$8+A898*IF('Loan Inputs'!$B$14=26,14,7)))</f>
        <v/>
      </c>
      <c r="C898" s="2" t="str">
        <f t="shared" si="41"/>
        <v/>
      </c>
      <c r="D898" s="2" t="str">
        <f>IF(A898="","",MIN('Loan Inputs'!$B$17,C898+E898)+H898)</f>
        <v/>
      </c>
      <c r="E898" s="2" t="str">
        <f>IF(A898="","",C898*'Loan Inputs'!$B$15)</f>
        <v/>
      </c>
      <c r="F898" s="2" t="str">
        <f t="shared" si="39"/>
        <v/>
      </c>
      <c r="G898" s="2" t="str">
        <f t="shared" si="40"/>
        <v/>
      </c>
      <c r="H898" s="2" t="str">
        <f>IF(A898="","",MIN('Loan Inputs'!$B$18,MAX(0,C898+E898-'Loan Inputs'!$B$17)))</f>
        <v/>
      </c>
    </row>
    <row r="899" spans="1:8" ht="22" customHeight="1">
      <c r="A899" s="1" t="str">
        <f>IF(AND('Loan Inputs'!$B$12,893&lt;=IF('Loan Inputs'!$B$12,'Loan Inputs'!$B$7,0)*'Loan Inputs'!$B$14+5*'Loan Inputs'!$B$14,ISNUMBER(G898),G898&gt;0),893,"")</f>
        <v/>
      </c>
      <c r="B899" s="4" t="str">
        <f>IF(A899="","",IF('Loan Inputs'!$B$14=12,DATE(YEAR('Loan Inputs'!$B$8),MONTH('Loan Inputs'!$B$8)+A899,DAY('Loan Inputs'!$B$8)),'Loan Inputs'!$B$8+A899*IF('Loan Inputs'!$B$14=26,14,7)))</f>
        <v/>
      </c>
      <c r="C899" s="2" t="str">
        <f t="shared" si="41"/>
        <v/>
      </c>
      <c r="D899" s="2" t="str">
        <f>IF(A899="","",MIN('Loan Inputs'!$B$17,C899+E899)+H899)</f>
        <v/>
      </c>
      <c r="E899" s="2" t="str">
        <f>IF(A899="","",C899*'Loan Inputs'!$B$15)</f>
        <v/>
      </c>
      <c r="F899" s="2" t="str">
        <f t="shared" si="39"/>
        <v/>
      </c>
      <c r="G899" s="2" t="str">
        <f t="shared" si="40"/>
        <v/>
      </c>
      <c r="H899" s="2" t="str">
        <f>IF(A899="","",MIN('Loan Inputs'!$B$18,MAX(0,C899+E899-'Loan Inputs'!$B$17)))</f>
        <v/>
      </c>
    </row>
    <row r="900" spans="1:8" ht="22" customHeight="1">
      <c r="A900" s="1" t="str">
        <f>IF(AND('Loan Inputs'!$B$12,894&lt;=IF('Loan Inputs'!$B$12,'Loan Inputs'!$B$7,0)*'Loan Inputs'!$B$14+5*'Loan Inputs'!$B$14,ISNUMBER(G899),G899&gt;0),894,"")</f>
        <v/>
      </c>
      <c r="B900" s="4" t="str">
        <f>IF(A900="","",IF('Loan Inputs'!$B$14=12,DATE(YEAR('Loan Inputs'!$B$8),MONTH('Loan Inputs'!$B$8)+A900,DAY('Loan Inputs'!$B$8)),'Loan Inputs'!$B$8+A900*IF('Loan Inputs'!$B$14=26,14,7)))</f>
        <v/>
      </c>
      <c r="C900" s="2" t="str">
        <f t="shared" si="41"/>
        <v/>
      </c>
      <c r="D900" s="2" t="str">
        <f>IF(A900="","",MIN('Loan Inputs'!$B$17,C900+E900)+H900)</f>
        <v/>
      </c>
      <c r="E900" s="2" t="str">
        <f>IF(A900="","",C900*'Loan Inputs'!$B$15)</f>
        <v/>
      </c>
      <c r="F900" s="2" t="str">
        <f t="shared" si="39"/>
        <v/>
      </c>
      <c r="G900" s="2" t="str">
        <f t="shared" si="40"/>
        <v/>
      </c>
      <c r="H900" s="2" t="str">
        <f>IF(A900="","",MIN('Loan Inputs'!$B$18,MAX(0,C900+E900-'Loan Inputs'!$B$17)))</f>
        <v/>
      </c>
    </row>
    <row r="901" spans="1:8" ht="22" customHeight="1">
      <c r="A901" s="1" t="str">
        <f>IF(AND('Loan Inputs'!$B$12,895&lt;=IF('Loan Inputs'!$B$12,'Loan Inputs'!$B$7,0)*'Loan Inputs'!$B$14+5*'Loan Inputs'!$B$14,ISNUMBER(G900),G900&gt;0),895,"")</f>
        <v/>
      </c>
      <c r="B901" s="4" t="str">
        <f>IF(A901="","",IF('Loan Inputs'!$B$14=12,DATE(YEAR('Loan Inputs'!$B$8),MONTH('Loan Inputs'!$B$8)+A901,DAY('Loan Inputs'!$B$8)),'Loan Inputs'!$B$8+A901*IF('Loan Inputs'!$B$14=26,14,7)))</f>
        <v/>
      </c>
      <c r="C901" s="2" t="str">
        <f t="shared" si="41"/>
        <v/>
      </c>
      <c r="D901" s="2" t="str">
        <f>IF(A901="","",MIN('Loan Inputs'!$B$17,C901+E901)+H901)</f>
        <v/>
      </c>
      <c r="E901" s="2" t="str">
        <f>IF(A901="","",C901*'Loan Inputs'!$B$15)</f>
        <v/>
      </c>
      <c r="F901" s="2" t="str">
        <f t="shared" si="39"/>
        <v/>
      </c>
      <c r="G901" s="2" t="str">
        <f t="shared" si="40"/>
        <v/>
      </c>
      <c r="H901" s="2" t="str">
        <f>IF(A901="","",MIN('Loan Inputs'!$B$18,MAX(0,C901+E901-'Loan Inputs'!$B$17)))</f>
        <v/>
      </c>
    </row>
    <row r="902" spans="1:8" ht="22" customHeight="1">
      <c r="A902" s="1" t="str">
        <f>IF(AND('Loan Inputs'!$B$12,896&lt;=IF('Loan Inputs'!$B$12,'Loan Inputs'!$B$7,0)*'Loan Inputs'!$B$14+5*'Loan Inputs'!$B$14,ISNUMBER(G901),G901&gt;0),896,"")</f>
        <v/>
      </c>
      <c r="B902" s="4" t="str">
        <f>IF(A902="","",IF('Loan Inputs'!$B$14=12,DATE(YEAR('Loan Inputs'!$B$8),MONTH('Loan Inputs'!$B$8)+A902,DAY('Loan Inputs'!$B$8)),'Loan Inputs'!$B$8+A902*IF('Loan Inputs'!$B$14=26,14,7)))</f>
        <v/>
      </c>
      <c r="C902" s="2" t="str">
        <f t="shared" si="41"/>
        <v/>
      </c>
      <c r="D902" s="2" t="str">
        <f>IF(A902="","",MIN('Loan Inputs'!$B$17,C902+E902)+H902)</f>
        <v/>
      </c>
      <c r="E902" s="2" t="str">
        <f>IF(A902="","",C902*'Loan Inputs'!$B$15)</f>
        <v/>
      </c>
      <c r="F902" s="2" t="str">
        <f t="shared" si="39"/>
        <v/>
      </c>
      <c r="G902" s="2" t="str">
        <f t="shared" si="40"/>
        <v/>
      </c>
      <c r="H902" s="2" t="str">
        <f>IF(A902="","",MIN('Loan Inputs'!$B$18,MAX(0,C902+E902-'Loan Inputs'!$B$17)))</f>
        <v/>
      </c>
    </row>
    <row r="903" spans="1:8" ht="22" customHeight="1">
      <c r="A903" s="1" t="str">
        <f>IF(AND('Loan Inputs'!$B$12,897&lt;=IF('Loan Inputs'!$B$12,'Loan Inputs'!$B$7,0)*'Loan Inputs'!$B$14+5*'Loan Inputs'!$B$14,ISNUMBER(G902),G902&gt;0),897,"")</f>
        <v/>
      </c>
      <c r="B903" s="4" t="str">
        <f>IF(A903="","",IF('Loan Inputs'!$B$14=12,DATE(YEAR('Loan Inputs'!$B$8),MONTH('Loan Inputs'!$B$8)+A903,DAY('Loan Inputs'!$B$8)),'Loan Inputs'!$B$8+A903*IF('Loan Inputs'!$B$14=26,14,7)))</f>
        <v/>
      </c>
      <c r="C903" s="2" t="str">
        <f t="shared" si="41"/>
        <v/>
      </c>
      <c r="D903" s="2" t="str">
        <f>IF(A903="","",MIN('Loan Inputs'!$B$17,C903+E903)+H903)</f>
        <v/>
      </c>
      <c r="E903" s="2" t="str">
        <f>IF(A903="","",C903*'Loan Inputs'!$B$15)</f>
        <v/>
      </c>
      <c r="F903" s="2" t="str">
        <f t="shared" ref="F903:F966" si="42">IF(A903="","",MIN(C903,D903-E903))</f>
        <v/>
      </c>
      <c r="G903" s="2" t="str">
        <f t="shared" ref="G903:G966" si="43">IF(A903="","",IF(C903-F903&lt;0.0000001,0,MAX(0,C903-F903)))</f>
        <v/>
      </c>
      <c r="H903" s="2" t="str">
        <f>IF(A903="","",MIN('Loan Inputs'!$B$18,MAX(0,C903+E903-'Loan Inputs'!$B$17)))</f>
        <v/>
      </c>
    </row>
    <row r="904" spans="1:8" ht="22" customHeight="1">
      <c r="A904" s="1" t="str">
        <f>IF(AND('Loan Inputs'!$B$12,898&lt;=IF('Loan Inputs'!$B$12,'Loan Inputs'!$B$7,0)*'Loan Inputs'!$B$14+5*'Loan Inputs'!$B$14,ISNUMBER(G903),G903&gt;0),898,"")</f>
        <v/>
      </c>
      <c r="B904" s="4" t="str">
        <f>IF(A904="","",IF('Loan Inputs'!$B$14=12,DATE(YEAR('Loan Inputs'!$B$8),MONTH('Loan Inputs'!$B$8)+A904,DAY('Loan Inputs'!$B$8)),'Loan Inputs'!$B$8+A904*IF('Loan Inputs'!$B$14=26,14,7)))</f>
        <v/>
      </c>
      <c r="C904" s="2" t="str">
        <f t="shared" ref="C904:C967" si="44">IF(A904="","",G903)</f>
        <v/>
      </c>
      <c r="D904" s="2" t="str">
        <f>IF(A904="","",MIN('Loan Inputs'!$B$17,C904+E904)+H904)</f>
        <v/>
      </c>
      <c r="E904" s="2" t="str">
        <f>IF(A904="","",C904*'Loan Inputs'!$B$15)</f>
        <v/>
      </c>
      <c r="F904" s="2" t="str">
        <f t="shared" si="42"/>
        <v/>
      </c>
      <c r="G904" s="2" t="str">
        <f t="shared" si="43"/>
        <v/>
      </c>
      <c r="H904" s="2" t="str">
        <f>IF(A904="","",MIN('Loan Inputs'!$B$18,MAX(0,C904+E904-'Loan Inputs'!$B$17)))</f>
        <v/>
      </c>
    </row>
    <row r="905" spans="1:8" ht="22" customHeight="1">
      <c r="A905" s="1" t="str">
        <f>IF(AND('Loan Inputs'!$B$12,899&lt;=IF('Loan Inputs'!$B$12,'Loan Inputs'!$B$7,0)*'Loan Inputs'!$B$14+5*'Loan Inputs'!$B$14,ISNUMBER(G904),G904&gt;0),899,"")</f>
        <v/>
      </c>
      <c r="B905" s="4" t="str">
        <f>IF(A905="","",IF('Loan Inputs'!$B$14=12,DATE(YEAR('Loan Inputs'!$B$8),MONTH('Loan Inputs'!$B$8)+A905,DAY('Loan Inputs'!$B$8)),'Loan Inputs'!$B$8+A905*IF('Loan Inputs'!$B$14=26,14,7)))</f>
        <v/>
      </c>
      <c r="C905" s="2" t="str">
        <f t="shared" si="44"/>
        <v/>
      </c>
      <c r="D905" s="2" t="str">
        <f>IF(A905="","",MIN('Loan Inputs'!$B$17,C905+E905)+H905)</f>
        <v/>
      </c>
      <c r="E905" s="2" t="str">
        <f>IF(A905="","",C905*'Loan Inputs'!$B$15)</f>
        <v/>
      </c>
      <c r="F905" s="2" t="str">
        <f t="shared" si="42"/>
        <v/>
      </c>
      <c r="G905" s="2" t="str">
        <f t="shared" si="43"/>
        <v/>
      </c>
      <c r="H905" s="2" t="str">
        <f>IF(A905="","",MIN('Loan Inputs'!$B$18,MAX(0,C905+E905-'Loan Inputs'!$B$17)))</f>
        <v/>
      </c>
    </row>
    <row r="906" spans="1:8" ht="22" customHeight="1">
      <c r="A906" s="1" t="str">
        <f>IF(AND('Loan Inputs'!$B$12,900&lt;=IF('Loan Inputs'!$B$12,'Loan Inputs'!$B$7,0)*'Loan Inputs'!$B$14+5*'Loan Inputs'!$B$14,ISNUMBER(G905),G905&gt;0),900,"")</f>
        <v/>
      </c>
      <c r="B906" s="4" t="str">
        <f>IF(A906="","",IF('Loan Inputs'!$B$14=12,DATE(YEAR('Loan Inputs'!$B$8),MONTH('Loan Inputs'!$B$8)+A906,DAY('Loan Inputs'!$B$8)),'Loan Inputs'!$B$8+A906*IF('Loan Inputs'!$B$14=26,14,7)))</f>
        <v/>
      </c>
      <c r="C906" s="2" t="str">
        <f t="shared" si="44"/>
        <v/>
      </c>
      <c r="D906" s="2" t="str">
        <f>IF(A906="","",MIN('Loan Inputs'!$B$17,C906+E906)+H906)</f>
        <v/>
      </c>
      <c r="E906" s="2" t="str">
        <f>IF(A906="","",C906*'Loan Inputs'!$B$15)</f>
        <v/>
      </c>
      <c r="F906" s="2" t="str">
        <f t="shared" si="42"/>
        <v/>
      </c>
      <c r="G906" s="2" t="str">
        <f t="shared" si="43"/>
        <v/>
      </c>
      <c r="H906" s="2" t="str">
        <f>IF(A906="","",MIN('Loan Inputs'!$B$18,MAX(0,C906+E906-'Loan Inputs'!$B$17)))</f>
        <v/>
      </c>
    </row>
    <row r="907" spans="1:8" ht="22" customHeight="1">
      <c r="A907" s="1" t="str">
        <f>IF(AND('Loan Inputs'!$B$12,901&lt;=IF('Loan Inputs'!$B$12,'Loan Inputs'!$B$7,0)*'Loan Inputs'!$B$14+5*'Loan Inputs'!$B$14,ISNUMBER(G906),G906&gt;0),901,"")</f>
        <v/>
      </c>
      <c r="B907" s="4" t="str">
        <f>IF(A907="","",IF('Loan Inputs'!$B$14=12,DATE(YEAR('Loan Inputs'!$B$8),MONTH('Loan Inputs'!$B$8)+A907,DAY('Loan Inputs'!$B$8)),'Loan Inputs'!$B$8+A907*IF('Loan Inputs'!$B$14=26,14,7)))</f>
        <v/>
      </c>
      <c r="C907" s="2" t="str">
        <f t="shared" si="44"/>
        <v/>
      </c>
      <c r="D907" s="2" t="str">
        <f>IF(A907="","",MIN('Loan Inputs'!$B$17,C907+E907)+H907)</f>
        <v/>
      </c>
      <c r="E907" s="2" t="str">
        <f>IF(A907="","",C907*'Loan Inputs'!$B$15)</f>
        <v/>
      </c>
      <c r="F907" s="2" t="str">
        <f t="shared" si="42"/>
        <v/>
      </c>
      <c r="G907" s="2" t="str">
        <f t="shared" si="43"/>
        <v/>
      </c>
      <c r="H907" s="2" t="str">
        <f>IF(A907="","",MIN('Loan Inputs'!$B$18,MAX(0,C907+E907-'Loan Inputs'!$B$17)))</f>
        <v/>
      </c>
    </row>
    <row r="908" spans="1:8" ht="22" customHeight="1">
      <c r="A908" s="1" t="str">
        <f>IF(AND('Loan Inputs'!$B$12,902&lt;=IF('Loan Inputs'!$B$12,'Loan Inputs'!$B$7,0)*'Loan Inputs'!$B$14+5*'Loan Inputs'!$B$14,ISNUMBER(G907),G907&gt;0),902,"")</f>
        <v/>
      </c>
      <c r="B908" s="4" t="str">
        <f>IF(A908="","",IF('Loan Inputs'!$B$14=12,DATE(YEAR('Loan Inputs'!$B$8),MONTH('Loan Inputs'!$B$8)+A908,DAY('Loan Inputs'!$B$8)),'Loan Inputs'!$B$8+A908*IF('Loan Inputs'!$B$14=26,14,7)))</f>
        <v/>
      </c>
      <c r="C908" s="2" t="str">
        <f t="shared" si="44"/>
        <v/>
      </c>
      <c r="D908" s="2" t="str">
        <f>IF(A908="","",MIN('Loan Inputs'!$B$17,C908+E908)+H908)</f>
        <v/>
      </c>
      <c r="E908" s="2" t="str">
        <f>IF(A908="","",C908*'Loan Inputs'!$B$15)</f>
        <v/>
      </c>
      <c r="F908" s="2" t="str">
        <f t="shared" si="42"/>
        <v/>
      </c>
      <c r="G908" s="2" t="str">
        <f t="shared" si="43"/>
        <v/>
      </c>
      <c r="H908" s="2" t="str">
        <f>IF(A908="","",MIN('Loan Inputs'!$B$18,MAX(0,C908+E908-'Loan Inputs'!$B$17)))</f>
        <v/>
      </c>
    </row>
    <row r="909" spans="1:8" ht="22" customHeight="1">
      <c r="A909" s="1" t="str">
        <f>IF(AND('Loan Inputs'!$B$12,903&lt;=IF('Loan Inputs'!$B$12,'Loan Inputs'!$B$7,0)*'Loan Inputs'!$B$14+5*'Loan Inputs'!$B$14,ISNUMBER(G908),G908&gt;0),903,"")</f>
        <v/>
      </c>
      <c r="B909" s="4" t="str">
        <f>IF(A909="","",IF('Loan Inputs'!$B$14=12,DATE(YEAR('Loan Inputs'!$B$8),MONTH('Loan Inputs'!$B$8)+A909,DAY('Loan Inputs'!$B$8)),'Loan Inputs'!$B$8+A909*IF('Loan Inputs'!$B$14=26,14,7)))</f>
        <v/>
      </c>
      <c r="C909" s="2" t="str">
        <f t="shared" si="44"/>
        <v/>
      </c>
      <c r="D909" s="2" t="str">
        <f>IF(A909="","",MIN('Loan Inputs'!$B$17,C909+E909)+H909)</f>
        <v/>
      </c>
      <c r="E909" s="2" t="str">
        <f>IF(A909="","",C909*'Loan Inputs'!$B$15)</f>
        <v/>
      </c>
      <c r="F909" s="2" t="str">
        <f t="shared" si="42"/>
        <v/>
      </c>
      <c r="G909" s="2" t="str">
        <f t="shared" si="43"/>
        <v/>
      </c>
      <c r="H909" s="2" t="str">
        <f>IF(A909="","",MIN('Loan Inputs'!$B$18,MAX(0,C909+E909-'Loan Inputs'!$B$17)))</f>
        <v/>
      </c>
    </row>
    <row r="910" spans="1:8" ht="22" customHeight="1">
      <c r="A910" s="1" t="str">
        <f>IF(AND('Loan Inputs'!$B$12,904&lt;=IF('Loan Inputs'!$B$12,'Loan Inputs'!$B$7,0)*'Loan Inputs'!$B$14+5*'Loan Inputs'!$B$14,ISNUMBER(G909),G909&gt;0),904,"")</f>
        <v/>
      </c>
      <c r="B910" s="4" t="str">
        <f>IF(A910="","",IF('Loan Inputs'!$B$14=12,DATE(YEAR('Loan Inputs'!$B$8),MONTH('Loan Inputs'!$B$8)+A910,DAY('Loan Inputs'!$B$8)),'Loan Inputs'!$B$8+A910*IF('Loan Inputs'!$B$14=26,14,7)))</f>
        <v/>
      </c>
      <c r="C910" s="2" t="str">
        <f t="shared" si="44"/>
        <v/>
      </c>
      <c r="D910" s="2" t="str">
        <f>IF(A910="","",MIN('Loan Inputs'!$B$17,C910+E910)+H910)</f>
        <v/>
      </c>
      <c r="E910" s="2" t="str">
        <f>IF(A910="","",C910*'Loan Inputs'!$B$15)</f>
        <v/>
      </c>
      <c r="F910" s="2" t="str">
        <f t="shared" si="42"/>
        <v/>
      </c>
      <c r="G910" s="2" t="str">
        <f t="shared" si="43"/>
        <v/>
      </c>
      <c r="H910" s="2" t="str">
        <f>IF(A910="","",MIN('Loan Inputs'!$B$18,MAX(0,C910+E910-'Loan Inputs'!$B$17)))</f>
        <v/>
      </c>
    </row>
    <row r="911" spans="1:8" ht="22" customHeight="1">
      <c r="A911" s="1" t="str">
        <f>IF(AND('Loan Inputs'!$B$12,905&lt;=IF('Loan Inputs'!$B$12,'Loan Inputs'!$B$7,0)*'Loan Inputs'!$B$14+5*'Loan Inputs'!$B$14,ISNUMBER(G910),G910&gt;0),905,"")</f>
        <v/>
      </c>
      <c r="B911" s="4" t="str">
        <f>IF(A911="","",IF('Loan Inputs'!$B$14=12,DATE(YEAR('Loan Inputs'!$B$8),MONTH('Loan Inputs'!$B$8)+A911,DAY('Loan Inputs'!$B$8)),'Loan Inputs'!$B$8+A911*IF('Loan Inputs'!$B$14=26,14,7)))</f>
        <v/>
      </c>
      <c r="C911" s="2" t="str">
        <f t="shared" si="44"/>
        <v/>
      </c>
      <c r="D911" s="2" t="str">
        <f>IF(A911="","",MIN('Loan Inputs'!$B$17,C911+E911)+H911)</f>
        <v/>
      </c>
      <c r="E911" s="2" t="str">
        <f>IF(A911="","",C911*'Loan Inputs'!$B$15)</f>
        <v/>
      </c>
      <c r="F911" s="2" t="str">
        <f t="shared" si="42"/>
        <v/>
      </c>
      <c r="G911" s="2" t="str">
        <f t="shared" si="43"/>
        <v/>
      </c>
      <c r="H911" s="2" t="str">
        <f>IF(A911="","",MIN('Loan Inputs'!$B$18,MAX(0,C911+E911-'Loan Inputs'!$B$17)))</f>
        <v/>
      </c>
    </row>
    <row r="912" spans="1:8" ht="22" customHeight="1">
      <c r="A912" s="1" t="str">
        <f>IF(AND('Loan Inputs'!$B$12,906&lt;=IF('Loan Inputs'!$B$12,'Loan Inputs'!$B$7,0)*'Loan Inputs'!$B$14+5*'Loan Inputs'!$B$14,ISNUMBER(G911),G911&gt;0),906,"")</f>
        <v/>
      </c>
      <c r="B912" s="4" t="str">
        <f>IF(A912="","",IF('Loan Inputs'!$B$14=12,DATE(YEAR('Loan Inputs'!$B$8),MONTH('Loan Inputs'!$B$8)+A912,DAY('Loan Inputs'!$B$8)),'Loan Inputs'!$B$8+A912*IF('Loan Inputs'!$B$14=26,14,7)))</f>
        <v/>
      </c>
      <c r="C912" s="2" t="str">
        <f t="shared" si="44"/>
        <v/>
      </c>
      <c r="D912" s="2" t="str">
        <f>IF(A912="","",MIN('Loan Inputs'!$B$17,C912+E912)+H912)</f>
        <v/>
      </c>
      <c r="E912" s="2" t="str">
        <f>IF(A912="","",C912*'Loan Inputs'!$B$15)</f>
        <v/>
      </c>
      <c r="F912" s="2" t="str">
        <f t="shared" si="42"/>
        <v/>
      </c>
      <c r="G912" s="2" t="str">
        <f t="shared" si="43"/>
        <v/>
      </c>
      <c r="H912" s="2" t="str">
        <f>IF(A912="","",MIN('Loan Inputs'!$B$18,MAX(0,C912+E912-'Loan Inputs'!$B$17)))</f>
        <v/>
      </c>
    </row>
    <row r="913" spans="1:8" ht="22" customHeight="1">
      <c r="A913" s="1" t="str">
        <f>IF(AND('Loan Inputs'!$B$12,907&lt;=IF('Loan Inputs'!$B$12,'Loan Inputs'!$B$7,0)*'Loan Inputs'!$B$14+5*'Loan Inputs'!$B$14,ISNUMBER(G912),G912&gt;0),907,"")</f>
        <v/>
      </c>
      <c r="B913" s="4" t="str">
        <f>IF(A913="","",IF('Loan Inputs'!$B$14=12,DATE(YEAR('Loan Inputs'!$B$8),MONTH('Loan Inputs'!$B$8)+A913,DAY('Loan Inputs'!$B$8)),'Loan Inputs'!$B$8+A913*IF('Loan Inputs'!$B$14=26,14,7)))</f>
        <v/>
      </c>
      <c r="C913" s="2" t="str">
        <f t="shared" si="44"/>
        <v/>
      </c>
      <c r="D913" s="2" t="str">
        <f>IF(A913="","",MIN('Loan Inputs'!$B$17,C913+E913)+H913)</f>
        <v/>
      </c>
      <c r="E913" s="2" t="str">
        <f>IF(A913="","",C913*'Loan Inputs'!$B$15)</f>
        <v/>
      </c>
      <c r="F913" s="2" t="str">
        <f t="shared" si="42"/>
        <v/>
      </c>
      <c r="G913" s="2" t="str">
        <f t="shared" si="43"/>
        <v/>
      </c>
      <c r="H913" s="2" t="str">
        <f>IF(A913="","",MIN('Loan Inputs'!$B$18,MAX(0,C913+E913-'Loan Inputs'!$B$17)))</f>
        <v/>
      </c>
    </row>
    <row r="914" spans="1:8" ht="22" customHeight="1">
      <c r="A914" s="1" t="str">
        <f>IF(AND('Loan Inputs'!$B$12,908&lt;=IF('Loan Inputs'!$B$12,'Loan Inputs'!$B$7,0)*'Loan Inputs'!$B$14+5*'Loan Inputs'!$B$14,ISNUMBER(G913),G913&gt;0),908,"")</f>
        <v/>
      </c>
      <c r="B914" s="4" t="str">
        <f>IF(A914="","",IF('Loan Inputs'!$B$14=12,DATE(YEAR('Loan Inputs'!$B$8),MONTH('Loan Inputs'!$B$8)+A914,DAY('Loan Inputs'!$B$8)),'Loan Inputs'!$B$8+A914*IF('Loan Inputs'!$B$14=26,14,7)))</f>
        <v/>
      </c>
      <c r="C914" s="2" t="str">
        <f t="shared" si="44"/>
        <v/>
      </c>
      <c r="D914" s="2" t="str">
        <f>IF(A914="","",MIN('Loan Inputs'!$B$17,C914+E914)+H914)</f>
        <v/>
      </c>
      <c r="E914" s="2" t="str">
        <f>IF(A914="","",C914*'Loan Inputs'!$B$15)</f>
        <v/>
      </c>
      <c r="F914" s="2" t="str">
        <f t="shared" si="42"/>
        <v/>
      </c>
      <c r="G914" s="2" t="str">
        <f t="shared" si="43"/>
        <v/>
      </c>
      <c r="H914" s="2" t="str">
        <f>IF(A914="","",MIN('Loan Inputs'!$B$18,MAX(0,C914+E914-'Loan Inputs'!$B$17)))</f>
        <v/>
      </c>
    </row>
    <row r="915" spans="1:8" ht="22" customHeight="1">
      <c r="A915" s="1" t="str">
        <f>IF(AND('Loan Inputs'!$B$12,909&lt;=IF('Loan Inputs'!$B$12,'Loan Inputs'!$B$7,0)*'Loan Inputs'!$B$14+5*'Loan Inputs'!$B$14,ISNUMBER(G914),G914&gt;0),909,"")</f>
        <v/>
      </c>
      <c r="B915" s="4" t="str">
        <f>IF(A915="","",IF('Loan Inputs'!$B$14=12,DATE(YEAR('Loan Inputs'!$B$8),MONTH('Loan Inputs'!$B$8)+A915,DAY('Loan Inputs'!$B$8)),'Loan Inputs'!$B$8+A915*IF('Loan Inputs'!$B$14=26,14,7)))</f>
        <v/>
      </c>
      <c r="C915" s="2" t="str">
        <f t="shared" si="44"/>
        <v/>
      </c>
      <c r="D915" s="2" t="str">
        <f>IF(A915="","",MIN('Loan Inputs'!$B$17,C915+E915)+H915)</f>
        <v/>
      </c>
      <c r="E915" s="2" t="str">
        <f>IF(A915="","",C915*'Loan Inputs'!$B$15)</f>
        <v/>
      </c>
      <c r="F915" s="2" t="str">
        <f t="shared" si="42"/>
        <v/>
      </c>
      <c r="G915" s="2" t="str">
        <f t="shared" si="43"/>
        <v/>
      </c>
      <c r="H915" s="2" t="str">
        <f>IF(A915="","",MIN('Loan Inputs'!$B$18,MAX(0,C915+E915-'Loan Inputs'!$B$17)))</f>
        <v/>
      </c>
    </row>
    <row r="916" spans="1:8" ht="22" customHeight="1">
      <c r="A916" s="1" t="str">
        <f>IF(AND('Loan Inputs'!$B$12,910&lt;=IF('Loan Inputs'!$B$12,'Loan Inputs'!$B$7,0)*'Loan Inputs'!$B$14+5*'Loan Inputs'!$B$14,ISNUMBER(G915),G915&gt;0),910,"")</f>
        <v/>
      </c>
      <c r="B916" s="4" t="str">
        <f>IF(A916="","",IF('Loan Inputs'!$B$14=12,DATE(YEAR('Loan Inputs'!$B$8),MONTH('Loan Inputs'!$B$8)+A916,DAY('Loan Inputs'!$B$8)),'Loan Inputs'!$B$8+A916*IF('Loan Inputs'!$B$14=26,14,7)))</f>
        <v/>
      </c>
      <c r="C916" s="2" t="str">
        <f t="shared" si="44"/>
        <v/>
      </c>
      <c r="D916" s="2" t="str">
        <f>IF(A916="","",MIN('Loan Inputs'!$B$17,C916+E916)+H916)</f>
        <v/>
      </c>
      <c r="E916" s="2" t="str">
        <f>IF(A916="","",C916*'Loan Inputs'!$B$15)</f>
        <v/>
      </c>
      <c r="F916" s="2" t="str">
        <f t="shared" si="42"/>
        <v/>
      </c>
      <c r="G916" s="2" t="str">
        <f t="shared" si="43"/>
        <v/>
      </c>
      <c r="H916" s="2" t="str">
        <f>IF(A916="","",MIN('Loan Inputs'!$B$18,MAX(0,C916+E916-'Loan Inputs'!$B$17)))</f>
        <v/>
      </c>
    </row>
    <row r="917" spans="1:8" ht="22" customHeight="1">
      <c r="A917" s="1" t="str">
        <f>IF(AND('Loan Inputs'!$B$12,911&lt;=IF('Loan Inputs'!$B$12,'Loan Inputs'!$B$7,0)*'Loan Inputs'!$B$14+5*'Loan Inputs'!$B$14,ISNUMBER(G916),G916&gt;0),911,"")</f>
        <v/>
      </c>
      <c r="B917" s="4" t="str">
        <f>IF(A917="","",IF('Loan Inputs'!$B$14=12,DATE(YEAR('Loan Inputs'!$B$8),MONTH('Loan Inputs'!$B$8)+A917,DAY('Loan Inputs'!$B$8)),'Loan Inputs'!$B$8+A917*IF('Loan Inputs'!$B$14=26,14,7)))</f>
        <v/>
      </c>
      <c r="C917" s="2" t="str">
        <f t="shared" si="44"/>
        <v/>
      </c>
      <c r="D917" s="2" t="str">
        <f>IF(A917="","",MIN('Loan Inputs'!$B$17,C917+E917)+H917)</f>
        <v/>
      </c>
      <c r="E917" s="2" t="str">
        <f>IF(A917="","",C917*'Loan Inputs'!$B$15)</f>
        <v/>
      </c>
      <c r="F917" s="2" t="str">
        <f t="shared" si="42"/>
        <v/>
      </c>
      <c r="G917" s="2" t="str">
        <f t="shared" si="43"/>
        <v/>
      </c>
      <c r="H917" s="2" t="str">
        <f>IF(A917="","",MIN('Loan Inputs'!$B$18,MAX(0,C917+E917-'Loan Inputs'!$B$17)))</f>
        <v/>
      </c>
    </row>
    <row r="918" spans="1:8" ht="22" customHeight="1">
      <c r="A918" s="1" t="str">
        <f>IF(AND('Loan Inputs'!$B$12,912&lt;=IF('Loan Inputs'!$B$12,'Loan Inputs'!$B$7,0)*'Loan Inputs'!$B$14+5*'Loan Inputs'!$B$14,ISNUMBER(G917),G917&gt;0),912,"")</f>
        <v/>
      </c>
      <c r="B918" s="4" t="str">
        <f>IF(A918="","",IF('Loan Inputs'!$B$14=12,DATE(YEAR('Loan Inputs'!$B$8),MONTH('Loan Inputs'!$B$8)+A918,DAY('Loan Inputs'!$B$8)),'Loan Inputs'!$B$8+A918*IF('Loan Inputs'!$B$14=26,14,7)))</f>
        <v/>
      </c>
      <c r="C918" s="2" t="str">
        <f t="shared" si="44"/>
        <v/>
      </c>
      <c r="D918" s="2" t="str">
        <f>IF(A918="","",MIN('Loan Inputs'!$B$17,C918+E918)+H918)</f>
        <v/>
      </c>
      <c r="E918" s="2" t="str">
        <f>IF(A918="","",C918*'Loan Inputs'!$B$15)</f>
        <v/>
      </c>
      <c r="F918" s="2" t="str">
        <f t="shared" si="42"/>
        <v/>
      </c>
      <c r="G918" s="2" t="str">
        <f t="shared" si="43"/>
        <v/>
      </c>
      <c r="H918" s="2" t="str">
        <f>IF(A918="","",MIN('Loan Inputs'!$B$18,MAX(0,C918+E918-'Loan Inputs'!$B$17)))</f>
        <v/>
      </c>
    </row>
    <row r="919" spans="1:8" ht="22" customHeight="1">
      <c r="A919" s="1" t="str">
        <f>IF(AND('Loan Inputs'!$B$12,913&lt;=IF('Loan Inputs'!$B$12,'Loan Inputs'!$B$7,0)*'Loan Inputs'!$B$14+5*'Loan Inputs'!$B$14,ISNUMBER(G918),G918&gt;0),913,"")</f>
        <v/>
      </c>
      <c r="B919" s="4" t="str">
        <f>IF(A919="","",IF('Loan Inputs'!$B$14=12,DATE(YEAR('Loan Inputs'!$B$8),MONTH('Loan Inputs'!$B$8)+A919,DAY('Loan Inputs'!$B$8)),'Loan Inputs'!$B$8+A919*IF('Loan Inputs'!$B$14=26,14,7)))</f>
        <v/>
      </c>
      <c r="C919" s="2" t="str">
        <f t="shared" si="44"/>
        <v/>
      </c>
      <c r="D919" s="2" t="str">
        <f>IF(A919="","",MIN('Loan Inputs'!$B$17,C919+E919)+H919)</f>
        <v/>
      </c>
      <c r="E919" s="2" t="str">
        <f>IF(A919="","",C919*'Loan Inputs'!$B$15)</f>
        <v/>
      </c>
      <c r="F919" s="2" t="str">
        <f t="shared" si="42"/>
        <v/>
      </c>
      <c r="G919" s="2" t="str">
        <f t="shared" si="43"/>
        <v/>
      </c>
      <c r="H919" s="2" t="str">
        <f>IF(A919="","",MIN('Loan Inputs'!$B$18,MAX(0,C919+E919-'Loan Inputs'!$B$17)))</f>
        <v/>
      </c>
    </row>
    <row r="920" spans="1:8" ht="22" customHeight="1">
      <c r="A920" s="1" t="str">
        <f>IF(AND('Loan Inputs'!$B$12,914&lt;=IF('Loan Inputs'!$B$12,'Loan Inputs'!$B$7,0)*'Loan Inputs'!$B$14+5*'Loan Inputs'!$B$14,ISNUMBER(G919),G919&gt;0),914,"")</f>
        <v/>
      </c>
      <c r="B920" s="4" t="str">
        <f>IF(A920="","",IF('Loan Inputs'!$B$14=12,DATE(YEAR('Loan Inputs'!$B$8),MONTH('Loan Inputs'!$B$8)+A920,DAY('Loan Inputs'!$B$8)),'Loan Inputs'!$B$8+A920*IF('Loan Inputs'!$B$14=26,14,7)))</f>
        <v/>
      </c>
      <c r="C920" s="2" t="str">
        <f t="shared" si="44"/>
        <v/>
      </c>
      <c r="D920" s="2" t="str">
        <f>IF(A920="","",MIN('Loan Inputs'!$B$17,C920+E920)+H920)</f>
        <v/>
      </c>
      <c r="E920" s="2" t="str">
        <f>IF(A920="","",C920*'Loan Inputs'!$B$15)</f>
        <v/>
      </c>
      <c r="F920" s="2" t="str">
        <f t="shared" si="42"/>
        <v/>
      </c>
      <c r="G920" s="2" t="str">
        <f t="shared" si="43"/>
        <v/>
      </c>
      <c r="H920" s="2" t="str">
        <f>IF(A920="","",MIN('Loan Inputs'!$B$18,MAX(0,C920+E920-'Loan Inputs'!$B$17)))</f>
        <v/>
      </c>
    </row>
    <row r="921" spans="1:8" ht="22" customHeight="1">
      <c r="A921" s="1" t="str">
        <f>IF(AND('Loan Inputs'!$B$12,915&lt;=IF('Loan Inputs'!$B$12,'Loan Inputs'!$B$7,0)*'Loan Inputs'!$B$14+5*'Loan Inputs'!$B$14,ISNUMBER(G920),G920&gt;0),915,"")</f>
        <v/>
      </c>
      <c r="B921" s="4" t="str">
        <f>IF(A921="","",IF('Loan Inputs'!$B$14=12,DATE(YEAR('Loan Inputs'!$B$8),MONTH('Loan Inputs'!$B$8)+A921,DAY('Loan Inputs'!$B$8)),'Loan Inputs'!$B$8+A921*IF('Loan Inputs'!$B$14=26,14,7)))</f>
        <v/>
      </c>
      <c r="C921" s="2" t="str">
        <f t="shared" si="44"/>
        <v/>
      </c>
      <c r="D921" s="2" t="str">
        <f>IF(A921="","",MIN('Loan Inputs'!$B$17,C921+E921)+H921)</f>
        <v/>
      </c>
      <c r="E921" s="2" t="str">
        <f>IF(A921="","",C921*'Loan Inputs'!$B$15)</f>
        <v/>
      </c>
      <c r="F921" s="2" t="str">
        <f t="shared" si="42"/>
        <v/>
      </c>
      <c r="G921" s="2" t="str">
        <f t="shared" si="43"/>
        <v/>
      </c>
      <c r="H921" s="2" t="str">
        <f>IF(A921="","",MIN('Loan Inputs'!$B$18,MAX(0,C921+E921-'Loan Inputs'!$B$17)))</f>
        <v/>
      </c>
    </row>
    <row r="922" spans="1:8" ht="22" customHeight="1">
      <c r="A922" s="1" t="str">
        <f>IF(AND('Loan Inputs'!$B$12,916&lt;=IF('Loan Inputs'!$B$12,'Loan Inputs'!$B$7,0)*'Loan Inputs'!$B$14+5*'Loan Inputs'!$B$14,ISNUMBER(G921),G921&gt;0),916,"")</f>
        <v/>
      </c>
      <c r="B922" s="4" t="str">
        <f>IF(A922="","",IF('Loan Inputs'!$B$14=12,DATE(YEAR('Loan Inputs'!$B$8),MONTH('Loan Inputs'!$B$8)+A922,DAY('Loan Inputs'!$B$8)),'Loan Inputs'!$B$8+A922*IF('Loan Inputs'!$B$14=26,14,7)))</f>
        <v/>
      </c>
      <c r="C922" s="2" t="str">
        <f t="shared" si="44"/>
        <v/>
      </c>
      <c r="D922" s="2" t="str">
        <f>IF(A922="","",MIN('Loan Inputs'!$B$17,C922+E922)+H922)</f>
        <v/>
      </c>
      <c r="E922" s="2" t="str">
        <f>IF(A922="","",C922*'Loan Inputs'!$B$15)</f>
        <v/>
      </c>
      <c r="F922" s="2" t="str">
        <f t="shared" si="42"/>
        <v/>
      </c>
      <c r="G922" s="2" t="str">
        <f t="shared" si="43"/>
        <v/>
      </c>
      <c r="H922" s="2" t="str">
        <f>IF(A922="","",MIN('Loan Inputs'!$B$18,MAX(0,C922+E922-'Loan Inputs'!$B$17)))</f>
        <v/>
      </c>
    </row>
    <row r="923" spans="1:8" ht="22" customHeight="1">
      <c r="A923" s="1" t="str">
        <f>IF(AND('Loan Inputs'!$B$12,917&lt;=IF('Loan Inputs'!$B$12,'Loan Inputs'!$B$7,0)*'Loan Inputs'!$B$14+5*'Loan Inputs'!$B$14,ISNUMBER(G922),G922&gt;0),917,"")</f>
        <v/>
      </c>
      <c r="B923" s="4" t="str">
        <f>IF(A923="","",IF('Loan Inputs'!$B$14=12,DATE(YEAR('Loan Inputs'!$B$8),MONTH('Loan Inputs'!$B$8)+A923,DAY('Loan Inputs'!$B$8)),'Loan Inputs'!$B$8+A923*IF('Loan Inputs'!$B$14=26,14,7)))</f>
        <v/>
      </c>
      <c r="C923" s="2" t="str">
        <f t="shared" si="44"/>
        <v/>
      </c>
      <c r="D923" s="2" t="str">
        <f>IF(A923="","",MIN('Loan Inputs'!$B$17,C923+E923)+H923)</f>
        <v/>
      </c>
      <c r="E923" s="2" t="str">
        <f>IF(A923="","",C923*'Loan Inputs'!$B$15)</f>
        <v/>
      </c>
      <c r="F923" s="2" t="str">
        <f t="shared" si="42"/>
        <v/>
      </c>
      <c r="G923" s="2" t="str">
        <f t="shared" si="43"/>
        <v/>
      </c>
      <c r="H923" s="2" t="str">
        <f>IF(A923="","",MIN('Loan Inputs'!$B$18,MAX(0,C923+E923-'Loan Inputs'!$B$17)))</f>
        <v/>
      </c>
    </row>
    <row r="924" spans="1:8" ht="22" customHeight="1">
      <c r="A924" s="1" t="str">
        <f>IF(AND('Loan Inputs'!$B$12,918&lt;=IF('Loan Inputs'!$B$12,'Loan Inputs'!$B$7,0)*'Loan Inputs'!$B$14+5*'Loan Inputs'!$B$14,ISNUMBER(G923),G923&gt;0),918,"")</f>
        <v/>
      </c>
      <c r="B924" s="4" t="str">
        <f>IF(A924="","",IF('Loan Inputs'!$B$14=12,DATE(YEAR('Loan Inputs'!$B$8),MONTH('Loan Inputs'!$B$8)+A924,DAY('Loan Inputs'!$B$8)),'Loan Inputs'!$B$8+A924*IF('Loan Inputs'!$B$14=26,14,7)))</f>
        <v/>
      </c>
      <c r="C924" s="2" t="str">
        <f t="shared" si="44"/>
        <v/>
      </c>
      <c r="D924" s="2" t="str">
        <f>IF(A924="","",MIN('Loan Inputs'!$B$17,C924+E924)+H924)</f>
        <v/>
      </c>
      <c r="E924" s="2" t="str">
        <f>IF(A924="","",C924*'Loan Inputs'!$B$15)</f>
        <v/>
      </c>
      <c r="F924" s="2" t="str">
        <f t="shared" si="42"/>
        <v/>
      </c>
      <c r="G924" s="2" t="str">
        <f t="shared" si="43"/>
        <v/>
      </c>
      <c r="H924" s="2" t="str">
        <f>IF(A924="","",MIN('Loan Inputs'!$B$18,MAX(0,C924+E924-'Loan Inputs'!$B$17)))</f>
        <v/>
      </c>
    </row>
    <row r="925" spans="1:8" ht="22" customHeight="1">
      <c r="A925" s="1" t="str">
        <f>IF(AND('Loan Inputs'!$B$12,919&lt;=IF('Loan Inputs'!$B$12,'Loan Inputs'!$B$7,0)*'Loan Inputs'!$B$14+5*'Loan Inputs'!$B$14,ISNUMBER(G924),G924&gt;0),919,"")</f>
        <v/>
      </c>
      <c r="B925" s="4" t="str">
        <f>IF(A925="","",IF('Loan Inputs'!$B$14=12,DATE(YEAR('Loan Inputs'!$B$8),MONTH('Loan Inputs'!$B$8)+A925,DAY('Loan Inputs'!$B$8)),'Loan Inputs'!$B$8+A925*IF('Loan Inputs'!$B$14=26,14,7)))</f>
        <v/>
      </c>
      <c r="C925" s="2" t="str">
        <f t="shared" si="44"/>
        <v/>
      </c>
      <c r="D925" s="2" t="str">
        <f>IF(A925="","",MIN('Loan Inputs'!$B$17,C925+E925)+H925)</f>
        <v/>
      </c>
      <c r="E925" s="2" t="str">
        <f>IF(A925="","",C925*'Loan Inputs'!$B$15)</f>
        <v/>
      </c>
      <c r="F925" s="2" t="str">
        <f t="shared" si="42"/>
        <v/>
      </c>
      <c r="G925" s="2" t="str">
        <f t="shared" si="43"/>
        <v/>
      </c>
      <c r="H925" s="2" t="str">
        <f>IF(A925="","",MIN('Loan Inputs'!$B$18,MAX(0,C925+E925-'Loan Inputs'!$B$17)))</f>
        <v/>
      </c>
    </row>
    <row r="926" spans="1:8" ht="22" customHeight="1">
      <c r="A926" s="1" t="str">
        <f>IF(AND('Loan Inputs'!$B$12,920&lt;=IF('Loan Inputs'!$B$12,'Loan Inputs'!$B$7,0)*'Loan Inputs'!$B$14+5*'Loan Inputs'!$B$14,ISNUMBER(G925),G925&gt;0),920,"")</f>
        <v/>
      </c>
      <c r="B926" s="4" t="str">
        <f>IF(A926="","",IF('Loan Inputs'!$B$14=12,DATE(YEAR('Loan Inputs'!$B$8),MONTH('Loan Inputs'!$B$8)+A926,DAY('Loan Inputs'!$B$8)),'Loan Inputs'!$B$8+A926*IF('Loan Inputs'!$B$14=26,14,7)))</f>
        <v/>
      </c>
      <c r="C926" s="2" t="str">
        <f t="shared" si="44"/>
        <v/>
      </c>
      <c r="D926" s="2" t="str">
        <f>IF(A926="","",MIN('Loan Inputs'!$B$17,C926+E926)+H926)</f>
        <v/>
      </c>
      <c r="E926" s="2" t="str">
        <f>IF(A926="","",C926*'Loan Inputs'!$B$15)</f>
        <v/>
      </c>
      <c r="F926" s="2" t="str">
        <f t="shared" si="42"/>
        <v/>
      </c>
      <c r="G926" s="2" t="str">
        <f t="shared" si="43"/>
        <v/>
      </c>
      <c r="H926" s="2" t="str">
        <f>IF(A926="","",MIN('Loan Inputs'!$B$18,MAX(0,C926+E926-'Loan Inputs'!$B$17)))</f>
        <v/>
      </c>
    </row>
    <row r="927" spans="1:8" ht="22" customHeight="1">
      <c r="A927" s="1" t="str">
        <f>IF(AND('Loan Inputs'!$B$12,921&lt;=IF('Loan Inputs'!$B$12,'Loan Inputs'!$B$7,0)*'Loan Inputs'!$B$14+5*'Loan Inputs'!$B$14,ISNUMBER(G926),G926&gt;0),921,"")</f>
        <v/>
      </c>
      <c r="B927" s="4" t="str">
        <f>IF(A927="","",IF('Loan Inputs'!$B$14=12,DATE(YEAR('Loan Inputs'!$B$8),MONTH('Loan Inputs'!$B$8)+A927,DAY('Loan Inputs'!$B$8)),'Loan Inputs'!$B$8+A927*IF('Loan Inputs'!$B$14=26,14,7)))</f>
        <v/>
      </c>
      <c r="C927" s="2" t="str">
        <f t="shared" si="44"/>
        <v/>
      </c>
      <c r="D927" s="2" t="str">
        <f>IF(A927="","",MIN('Loan Inputs'!$B$17,C927+E927)+H927)</f>
        <v/>
      </c>
      <c r="E927" s="2" t="str">
        <f>IF(A927="","",C927*'Loan Inputs'!$B$15)</f>
        <v/>
      </c>
      <c r="F927" s="2" t="str">
        <f t="shared" si="42"/>
        <v/>
      </c>
      <c r="G927" s="2" t="str">
        <f t="shared" si="43"/>
        <v/>
      </c>
      <c r="H927" s="2" t="str">
        <f>IF(A927="","",MIN('Loan Inputs'!$B$18,MAX(0,C927+E927-'Loan Inputs'!$B$17)))</f>
        <v/>
      </c>
    </row>
    <row r="928" spans="1:8" ht="22" customHeight="1">
      <c r="A928" s="1" t="str">
        <f>IF(AND('Loan Inputs'!$B$12,922&lt;=IF('Loan Inputs'!$B$12,'Loan Inputs'!$B$7,0)*'Loan Inputs'!$B$14+5*'Loan Inputs'!$B$14,ISNUMBER(G927),G927&gt;0),922,"")</f>
        <v/>
      </c>
      <c r="B928" s="4" t="str">
        <f>IF(A928="","",IF('Loan Inputs'!$B$14=12,DATE(YEAR('Loan Inputs'!$B$8),MONTH('Loan Inputs'!$B$8)+A928,DAY('Loan Inputs'!$B$8)),'Loan Inputs'!$B$8+A928*IF('Loan Inputs'!$B$14=26,14,7)))</f>
        <v/>
      </c>
      <c r="C928" s="2" t="str">
        <f t="shared" si="44"/>
        <v/>
      </c>
      <c r="D928" s="2" t="str">
        <f>IF(A928="","",MIN('Loan Inputs'!$B$17,C928+E928)+H928)</f>
        <v/>
      </c>
      <c r="E928" s="2" t="str">
        <f>IF(A928="","",C928*'Loan Inputs'!$B$15)</f>
        <v/>
      </c>
      <c r="F928" s="2" t="str">
        <f t="shared" si="42"/>
        <v/>
      </c>
      <c r="G928" s="2" t="str">
        <f t="shared" si="43"/>
        <v/>
      </c>
      <c r="H928" s="2" t="str">
        <f>IF(A928="","",MIN('Loan Inputs'!$B$18,MAX(0,C928+E928-'Loan Inputs'!$B$17)))</f>
        <v/>
      </c>
    </row>
    <row r="929" spans="1:8" ht="22" customHeight="1">
      <c r="A929" s="1" t="str">
        <f>IF(AND('Loan Inputs'!$B$12,923&lt;=IF('Loan Inputs'!$B$12,'Loan Inputs'!$B$7,0)*'Loan Inputs'!$B$14+5*'Loan Inputs'!$B$14,ISNUMBER(G928),G928&gt;0),923,"")</f>
        <v/>
      </c>
      <c r="B929" s="4" t="str">
        <f>IF(A929="","",IF('Loan Inputs'!$B$14=12,DATE(YEAR('Loan Inputs'!$B$8),MONTH('Loan Inputs'!$B$8)+A929,DAY('Loan Inputs'!$B$8)),'Loan Inputs'!$B$8+A929*IF('Loan Inputs'!$B$14=26,14,7)))</f>
        <v/>
      </c>
      <c r="C929" s="2" t="str">
        <f t="shared" si="44"/>
        <v/>
      </c>
      <c r="D929" s="2" t="str">
        <f>IF(A929="","",MIN('Loan Inputs'!$B$17,C929+E929)+H929)</f>
        <v/>
      </c>
      <c r="E929" s="2" t="str">
        <f>IF(A929="","",C929*'Loan Inputs'!$B$15)</f>
        <v/>
      </c>
      <c r="F929" s="2" t="str">
        <f t="shared" si="42"/>
        <v/>
      </c>
      <c r="G929" s="2" t="str">
        <f t="shared" si="43"/>
        <v/>
      </c>
      <c r="H929" s="2" t="str">
        <f>IF(A929="","",MIN('Loan Inputs'!$B$18,MAX(0,C929+E929-'Loan Inputs'!$B$17)))</f>
        <v/>
      </c>
    </row>
    <row r="930" spans="1:8" ht="22" customHeight="1">
      <c r="A930" s="1" t="str">
        <f>IF(AND('Loan Inputs'!$B$12,924&lt;=IF('Loan Inputs'!$B$12,'Loan Inputs'!$B$7,0)*'Loan Inputs'!$B$14+5*'Loan Inputs'!$B$14,ISNUMBER(G929),G929&gt;0),924,"")</f>
        <v/>
      </c>
      <c r="B930" s="4" t="str">
        <f>IF(A930="","",IF('Loan Inputs'!$B$14=12,DATE(YEAR('Loan Inputs'!$B$8),MONTH('Loan Inputs'!$B$8)+A930,DAY('Loan Inputs'!$B$8)),'Loan Inputs'!$B$8+A930*IF('Loan Inputs'!$B$14=26,14,7)))</f>
        <v/>
      </c>
      <c r="C930" s="2" t="str">
        <f t="shared" si="44"/>
        <v/>
      </c>
      <c r="D930" s="2" t="str">
        <f>IF(A930="","",MIN('Loan Inputs'!$B$17,C930+E930)+H930)</f>
        <v/>
      </c>
      <c r="E930" s="2" t="str">
        <f>IF(A930="","",C930*'Loan Inputs'!$B$15)</f>
        <v/>
      </c>
      <c r="F930" s="2" t="str">
        <f t="shared" si="42"/>
        <v/>
      </c>
      <c r="G930" s="2" t="str">
        <f t="shared" si="43"/>
        <v/>
      </c>
      <c r="H930" s="2" t="str">
        <f>IF(A930="","",MIN('Loan Inputs'!$B$18,MAX(0,C930+E930-'Loan Inputs'!$B$17)))</f>
        <v/>
      </c>
    </row>
    <row r="931" spans="1:8" ht="22" customHeight="1">
      <c r="A931" s="1" t="str">
        <f>IF(AND('Loan Inputs'!$B$12,925&lt;=IF('Loan Inputs'!$B$12,'Loan Inputs'!$B$7,0)*'Loan Inputs'!$B$14+5*'Loan Inputs'!$B$14,ISNUMBER(G930),G930&gt;0),925,"")</f>
        <v/>
      </c>
      <c r="B931" s="4" t="str">
        <f>IF(A931="","",IF('Loan Inputs'!$B$14=12,DATE(YEAR('Loan Inputs'!$B$8),MONTH('Loan Inputs'!$B$8)+A931,DAY('Loan Inputs'!$B$8)),'Loan Inputs'!$B$8+A931*IF('Loan Inputs'!$B$14=26,14,7)))</f>
        <v/>
      </c>
      <c r="C931" s="2" t="str">
        <f t="shared" si="44"/>
        <v/>
      </c>
      <c r="D931" s="2" t="str">
        <f>IF(A931="","",MIN('Loan Inputs'!$B$17,C931+E931)+H931)</f>
        <v/>
      </c>
      <c r="E931" s="2" t="str">
        <f>IF(A931="","",C931*'Loan Inputs'!$B$15)</f>
        <v/>
      </c>
      <c r="F931" s="2" t="str">
        <f t="shared" si="42"/>
        <v/>
      </c>
      <c r="G931" s="2" t="str">
        <f t="shared" si="43"/>
        <v/>
      </c>
      <c r="H931" s="2" t="str">
        <f>IF(A931="","",MIN('Loan Inputs'!$B$18,MAX(0,C931+E931-'Loan Inputs'!$B$17)))</f>
        <v/>
      </c>
    </row>
    <row r="932" spans="1:8" ht="22" customHeight="1">
      <c r="A932" s="1" t="str">
        <f>IF(AND('Loan Inputs'!$B$12,926&lt;=IF('Loan Inputs'!$B$12,'Loan Inputs'!$B$7,0)*'Loan Inputs'!$B$14+5*'Loan Inputs'!$B$14,ISNUMBER(G931),G931&gt;0),926,"")</f>
        <v/>
      </c>
      <c r="B932" s="4" t="str">
        <f>IF(A932="","",IF('Loan Inputs'!$B$14=12,DATE(YEAR('Loan Inputs'!$B$8),MONTH('Loan Inputs'!$B$8)+A932,DAY('Loan Inputs'!$B$8)),'Loan Inputs'!$B$8+A932*IF('Loan Inputs'!$B$14=26,14,7)))</f>
        <v/>
      </c>
      <c r="C932" s="2" t="str">
        <f t="shared" si="44"/>
        <v/>
      </c>
      <c r="D932" s="2" t="str">
        <f>IF(A932="","",MIN('Loan Inputs'!$B$17,C932+E932)+H932)</f>
        <v/>
      </c>
      <c r="E932" s="2" t="str">
        <f>IF(A932="","",C932*'Loan Inputs'!$B$15)</f>
        <v/>
      </c>
      <c r="F932" s="2" t="str">
        <f t="shared" si="42"/>
        <v/>
      </c>
      <c r="G932" s="2" t="str">
        <f t="shared" si="43"/>
        <v/>
      </c>
      <c r="H932" s="2" t="str">
        <f>IF(A932="","",MIN('Loan Inputs'!$B$18,MAX(0,C932+E932-'Loan Inputs'!$B$17)))</f>
        <v/>
      </c>
    </row>
    <row r="933" spans="1:8" ht="22" customHeight="1">
      <c r="A933" s="1" t="str">
        <f>IF(AND('Loan Inputs'!$B$12,927&lt;=IF('Loan Inputs'!$B$12,'Loan Inputs'!$B$7,0)*'Loan Inputs'!$B$14+5*'Loan Inputs'!$B$14,ISNUMBER(G932),G932&gt;0),927,"")</f>
        <v/>
      </c>
      <c r="B933" s="4" t="str">
        <f>IF(A933="","",IF('Loan Inputs'!$B$14=12,DATE(YEAR('Loan Inputs'!$B$8),MONTH('Loan Inputs'!$B$8)+A933,DAY('Loan Inputs'!$B$8)),'Loan Inputs'!$B$8+A933*IF('Loan Inputs'!$B$14=26,14,7)))</f>
        <v/>
      </c>
      <c r="C933" s="2" t="str">
        <f t="shared" si="44"/>
        <v/>
      </c>
      <c r="D933" s="2" t="str">
        <f>IF(A933="","",MIN('Loan Inputs'!$B$17,C933+E933)+H933)</f>
        <v/>
      </c>
      <c r="E933" s="2" t="str">
        <f>IF(A933="","",C933*'Loan Inputs'!$B$15)</f>
        <v/>
      </c>
      <c r="F933" s="2" t="str">
        <f t="shared" si="42"/>
        <v/>
      </c>
      <c r="G933" s="2" t="str">
        <f t="shared" si="43"/>
        <v/>
      </c>
      <c r="H933" s="2" t="str">
        <f>IF(A933="","",MIN('Loan Inputs'!$B$18,MAX(0,C933+E933-'Loan Inputs'!$B$17)))</f>
        <v/>
      </c>
    </row>
    <row r="934" spans="1:8" ht="22" customHeight="1">
      <c r="A934" s="1" t="str">
        <f>IF(AND('Loan Inputs'!$B$12,928&lt;=IF('Loan Inputs'!$B$12,'Loan Inputs'!$B$7,0)*'Loan Inputs'!$B$14+5*'Loan Inputs'!$B$14,ISNUMBER(G933),G933&gt;0),928,"")</f>
        <v/>
      </c>
      <c r="B934" s="4" t="str">
        <f>IF(A934="","",IF('Loan Inputs'!$B$14=12,DATE(YEAR('Loan Inputs'!$B$8),MONTH('Loan Inputs'!$B$8)+A934,DAY('Loan Inputs'!$B$8)),'Loan Inputs'!$B$8+A934*IF('Loan Inputs'!$B$14=26,14,7)))</f>
        <v/>
      </c>
      <c r="C934" s="2" t="str">
        <f t="shared" si="44"/>
        <v/>
      </c>
      <c r="D934" s="2" t="str">
        <f>IF(A934="","",MIN('Loan Inputs'!$B$17,C934+E934)+H934)</f>
        <v/>
      </c>
      <c r="E934" s="2" t="str">
        <f>IF(A934="","",C934*'Loan Inputs'!$B$15)</f>
        <v/>
      </c>
      <c r="F934" s="2" t="str">
        <f t="shared" si="42"/>
        <v/>
      </c>
      <c r="G934" s="2" t="str">
        <f t="shared" si="43"/>
        <v/>
      </c>
      <c r="H934" s="2" t="str">
        <f>IF(A934="","",MIN('Loan Inputs'!$B$18,MAX(0,C934+E934-'Loan Inputs'!$B$17)))</f>
        <v/>
      </c>
    </row>
    <row r="935" spans="1:8" ht="22" customHeight="1">
      <c r="A935" s="1" t="str">
        <f>IF(AND('Loan Inputs'!$B$12,929&lt;=IF('Loan Inputs'!$B$12,'Loan Inputs'!$B$7,0)*'Loan Inputs'!$B$14+5*'Loan Inputs'!$B$14,ISNUMBER(G934),G934&gt;0),929,"")</f>
        <v/>
      </c>
      <c r="B935" s="4" t="str">
        <f>IF(A935="","",IF('Loan Inputs'!$B$14=12,DATE(YEAR('Loan Inputs'!$B$8),MONTH('Loan Inputs'!$B$8)+A935,DAY('Loan Inputs'!$B$8)),'Loan Inputs'!$B$8+A935*IF('Loan Inputs'!$B$14=26,14,7)))</f>
        <v/>
      </c>
      <c r="C935" s="2" t="str">
        <f t="shared" si="44"/>
        <v/>
      </c>
      <c r="D935" s="2" t="str">
        <f>IF(A935="","",MIN('Loan Inputs'!$B$17,C935+E935)+H935)</f>
        <v/>
      </c>
      <c r="E935" s="2" t="str">
        <f>IF(A935="","",C935*'Loan Inputs'!$B$15)</f>
        <v/>
      </c>
      <c r="F935" s="2" t="str">
        <f t="shared" si="42"/>
        <v/>
      </c>
      <c r="G935" s="2" t="str">
        <f t="shared" si="43"/>
        <v/>
      </c>
      <c r="H935" s="2" t="str">
        <f>IF(A935="","",MIN('Loan Inputs'!$B$18,MAX(0,C935+E935-'Loan Inputs'!$B$17)))</f>
        <v/>
      </c>
    </row>
    <row r="936" spans="1:8" ht="22" customHeight="1">
      <c r="A936" s="1" t="str">
        <f>IF(AND('Loan Inputs'!$B$12,930&lt;=IF('Loan Inputs'!$B$12,'Loan Inputs'!$B$7,0)*'Loan Inputs'!$B$14+5*'Loan Inputs'!$B$14,ISNUMBER(G935),G935&gt;0),930,"")</f>
        <v/>
      </c>
      <c r="B936" s="4" t="str">
        <f>IF(A936="","",IF('Loan Inputs'!$B$14=12,DATE(YEAR('Loan Inputs'!$B$8),MONTH('Loan Inputs'!$B$8)+A936,DAY('Loan Inputs'!$B$8)),'Loan Inputs'!$B$8+A936*IF('Loan Inputs'!$B$14=26,14,7)))</f>
        <v/>
      </c>
      <c r="C936" s="2" t="str">
        <f t="shared" si="44"/>
        <v/>
      </c>
      <c r="D936" s="2" t="str">
        <f>IF(A936="","",MIN('Loan Inputs'!$B$17,C936+E936)+H936)</f>
        <v/>
      </c>
      <c r="E936" s="2" t="str">
        <f>IF(A936="","",C936*'Loan Inputs'!$B$15)</f>
        <v/>
      </c>
      <c r="F936" s="2" t="str">
        <f t="shared" si="42"/>
        <v/>
      </c>
      <c r="G936" s="2" t="str">
        <f t="shared" si="43"/>
        <v/>
      </c>
      <c r="H936" s="2" t="str">
        <f>IF(A936="","",MIN('Loan Inputs'!$B$18,MAX(0,C936+E936-'Loan Inputs'!$B$17)))</f>
        <v/>
      </c>
    </row>
    <row r="937" spans="1:8" ht="22" customHeight="1">
      <c r="A937" s="1" t="str">
        <f>IF(AND('Loan Inputs'!$B$12,931&lt;=IF('Loan Inputs'!$B$12,'Loan Inputs'!$B$7,0)*'Loan Inputs'!$B$14+5*'Loan Inputs'!$B$14,ISNUMBER(G936),G936&gt;0),931,"")</f>
        <v/>
      </c>
      <c r="B937" s="4" t="str">
        <f>IF(A937="","",IF('Loan Inputs'!$B$14=12,DATE(YEAR('Loan Inputs'!$B$8),MONTH('Loan Inputs'!$B$8)+A937,DAY('Loan Inputs'!$B$8)),'Loan Inputs'!$B$8+A937*IF('Loan Inputs'!$B$14=26,14,7)))</f>
        <v/>
      </c>
      <c r="C937" s="2" t="str">
        <f t="shared" si="44"/>
        <v/>
      </c>
      <c r="D937" s="2" t="str">
        <f>IF(A937="","",MIN('Loan Inputs'!$B$17,C937+E937)+H937)</f>
        <v/>
      </c>
      <c r="E937" s="2" t="str">
        <f>IF(A937="","",C937*'Loan Inputs'!$B$15)</f>
        <v/>
      </c>
      <c r="F937" s="2" t="str">
        <f t="shared" si="42"/>
        <v/>
      </c>
      <c r="G937" s="2" t="str">
        <f t="shared" si="43"/>
        <v/>
      </c>
      <c r="H937" s="2" t="str">
        <f>IF(A937="","",MIN('Loan Inputs'!$B$18,MAX(0,C937+E937-'Loan Inputs'!$B$17)))</f>
        <v/>
      </c>
    </row>
    <row r="938" spans="1:8" ht="22" customHeight="1">
      <c r="A938" s="1" t="str">
        <f>IF(AND('Loan Inputs'!$B$12,932&lt;=IF('Loan Inputs'!$B$12,'Loan Inputs'!$B$7,0)*'Loan Inputs'!$B$14+5*'Loan Inputs'!$B$14,ISNUMBER(G937),G937&gt;0),932,"")</f>
        <v/>
      </c>
      <c r="B938" s="4" t="str">
        <f>IF(A938="","",IF('Loan Inputs'!$B$14=12,DATE(YEAR('Loan Inputs'!$B$8),MONTH('Loan Inputs'!$B$8)+A938,DAY('Loan Inputs'!$B$8)),'Loan Inputs'!$B$8+A938*IF('Loan Inputs'!$B$14=26,14,7)))</f>
        <v/>
      </c>
      <c r="C938" s="2" t="str">
        <f t="shared" si="44"/>
        <v/>
      </c>
      <c r="D938" s="2" t="str">
        <f>IF(A938="","",MIN('Loan Inputs'!$B$17,C938+E938)+H938)</f>
        <v/>
      </c>
      <c r="E938" s="2" t="str">
        <f>IF(A938="","",C938*'Loan Inputs'!$B$15)</f>
        <v/>
      </c>
      <c r="F938" s="2" t="str">
        <f t="shared" si="42"/>
        <v/>
      </c>
      <c r="G938" s="2" t="str">
        <f t="shared" si="43"/>
        <v/>
      </c>
      <c r="H938" s="2" t="str">
        <f>IF(A938="","",MIN('Loan Inputs'!$B$18,MAX(0,C938+E938-'Loan Inputs'!$B$17)))</f>
        <v/>
      </c>
    </row>
    <row r="939" spans="1:8" ht="22" customHeight="1">
      <c r="A939" s="1" t="str">
        <f>IF(AND('Loan Inputs'!$B$12,933&lt;=IF('Loan Inputs'!$B$12,'Loan Inputs'!$B$7,0)*'Loan Inputs'!$B$14+5*'Loan Inputs'!$B$14,ISNUMBER(G938),G938&gt;0),933,"")</f>
        <v/>
      </c>
      <c r="B939" s="4" t="str">
        <f>IF(A939="","",IF('Loan Inputs'!$B$14=12,DATE(YEAR('Loan Inputs'!$B$8),MONTH('Loan Inputs'!$B$8)+A939,DAY('Loan Inputs'!$B$8)),'Loan Inputs'!$B$8+A939*IF('Loan Inputs'!$B$14=26,14,7)))</f>
        <v/>
      </c>
      <c r="C939" s="2" t="str">
        <f t="shared" si="44"/>
        <v/>
      </c>
      <c r="D939" s="2" t="str">
        <f>IF(A939="","",MIN('Loan Inputs'!$B$17,C939+E939)+H939)</f>
        <v/>
      </c>
      <c r="E939" s="2" t="str">
        <f>IF(A939="","",C939*'Loan Inputs'!$B$15)</f>
        <v/>
      </c>
      <c r="F939" s="2" t="str">
        <f t="shared" si="42"/>
        <v/>
      </c>
      <c r="G939" s="2" t="str">
        <f t="shared" si="43"/>
        <v/>
      </c>
      <c r="H939" s="2" t="str">
        <f>IF(A939="","",MIN('Loan Inputs'!$B$18,MAX(0,C939+E939-'Loan Inputs'!$B$17)))</f>
        <v/>
      </c>
    </row>
    <row r="940" spans="1:8" ht="22" customHeight="1">
      <c r="A940" s="1" t="str">
        <f>IF(AND('Loan Inputs'!$B$12,934&lt;=IF('Loan Inputs'!$B$12,'Loan Inputs'!$B$7,0)*'Loan Inputs'!$B$14+5*'Loan Inputs'!$B$14,ISNUMBER(G939),G939&gt;0),934,"")</f>
        <v/>
      </c>
      <c r="B940" s="4" t="str">
        <f>IF(A940="","",IF('Loan Inputs'!$B$14=12,DATE(YEAR('Loan Inputs'!$B$8),MONTH('Loan Inputs'!$B$8)+A940,DAY('Loan Inputs'!$B$8)),'Loan Inputs'!$B$8+A940*IF('Loan Inputs'!$B$14=26,14,7)))</f>
        <v/>
      </c>
      <c r="C940" s="2" t="str">
        <f t="shared" si="44"/>
        <v/>
      </c>
      <c r="D940" s="2" t="str">
        <f>IF(A940="","",MIN('Loan Inputs'!$B$17,C940+E940)+H940)</f>
        <v/>
      </c>
      <c r="E940" s="2" t="str">
        <f>IF(A940="","",C940*'Loan Inputs'!$B$15)</f>
        <v/>
      </c>
      <c r="F940" s="2" t="str">
        <f t="shared" si="42"/>
        <v/>
      </c>
      <c r="G940" s="2" t="str">
        <f t="shared" si="43"/>
        <v/>
      </c>
      <c r="H940" s="2" t="str">
        <f>IF(A940="","",MIN('Loan Inputs'!$B$18,MAX(0,C940+E940-'Loan Inputs'!$B$17)))</f>
        <v/>
      </c>
    </row>
    <row r="941" spans="1:8" ht="22" customHeight="1">
      <c r="A941" s="1" t="str">
        <f>IF(AND('Loan Inputs'!$B$12,935&lt;=IF('Loan Inputs'!$B$12,'Loan Inputs'!$B$7,0)*'Loan Inputs'!$B$14+5*'Loan Inputs'!$B$14,ISNUMBER(G940),G940&gt;0),935,"")</f>
        <v/>
      </c>
      <c r="B941" s="4" t="str">
        <f>IF(A941="","",IF('Loan Inputs'!$B$14=12,DATE(YEAR('Loan Inputs'!$B$8),MONTH('Loan Inputs'!$B$8)+A941,DAY('Loan Inputs'!$B$8)),'Loan Inputs'!$B$8+A941*IF('Loan Inputs'!$B$14=26,14,7)))</f>
        <v/>
      </c>
      <c r="C941" s="2" t="str">
        <f t="shared" si="44"/>
        <v/>
      </c>
      <c r="D941" s="2" t="str">
        <f>IF(A941="","",MIN('Loan Inputs'!$B$17,C941+E941)+H941)</f>
        <v/>
      </c>
      <c r="E941" s="2" t="str">
        <f>IF(A941="","",C941*'Loan Inputs'!$B$15)</f>
        <v/>
      </c>
      <c r="F941" s="2" t="str">
        <f t="shared" si="42"/>
        <v/>
      </c>
      <c r="G941" s="2" t="str">
        <f t="shared" si="43"/>
        <v/>
      </c>
      <c r="H941" s="2" t="str">
        <f>IF(A941="","",MIN('Loan Inputs'!$B$18,MAX(0,C941+E941-'Loan Inputs'!$B$17)))</f>
        <v/>
      </c>
    </row>
    <row r="942" spans="1:8" ht="22" customHeight="1">
      <c r="A942" s="1" t="str">
        <f>IF(AND('Loan Inputs'!$B$12,936&lt;=IF('Loan Inputs'!$B$12,'Loan Inputs'!$B$7,0)*'Loan Inputs'!$B$14+5*'Loan Inputs'!$B$14,ISNUMBER(G941),G941&gt;0),936,"")</f>
        <v/>
      </c>
      <c r="B942" s="4" t="str">
        <f>IF(A942="","",IF('Loan Inputs'!$B$14=12,DATE(YEAR('Loan Inputs'!$B$8),MONTH('Loan Inputs'!$B$8)+A942,DAY('Loan Inputs'!$B$8)),'Loan Inputs'!$B$8+A942*IF('Loan Inputs'!$B$14=26,14,7)))</f>
        <v/>
      </c>
      <c r="C942" s="2" t="str">
        <f t="shared" si="44"/>
        <v/>
      </c>
      <c r="D942" s="2" t="str">
        <f>IF(A942="","",MIN('Loan Inputs'!$B$17,C942+E942)+H942)</f>
        <v/>
      </c>
      <c r="E942" s="2" t="str">
        <f>IF(A942="","",C942*'Loan Inputs'!$B$15)</f>
        <v/>
      </c>
      <c r="F942" s="2" t="str">
        <f t="shared" si="42"/>
        <v/>
      </c>
      <c r="G942" s="2" t="str">
        <f t="shared" si="43"/>
        <v/>
      </c>
      <c r="H942" s="2" t="str">
        <f>IF(A942="","",MIN('Loan Inputs'!$B$18,MAX(0,C942+E942-'Loan Inputs'!$B$17)))</f>
        <v/>
      </c>
    </row>
    <row r="943" spans="1:8" ht="22" customHeight="1">
      <c r="A943" s="1" t="str">
        <f>IF(AND('Loan Inputs'!$B$12,937&lt;=IF('Loan Inputs'!$B$12,'Loan Inputs'!$B$7,0)*'Loan Inputs'!$B$14+5*'Loan Inputs'!$B$14,ISNUMBER(G942),G942&gt;0),937,"")</f>
        <v/>
      </c>
      <c r="B943" s="4" t="str">
        <f>IF(A943="","",IF('Loan Inputs'!$B$14=12,DATE(YEAR('Loan Inputs'!$B$8),MONTH('Loan Inputs'!$B$8)+A943,DAY('Loan Inputs'!$B$8)),'Loan Inputs'!$B$8+A943*IF('Loan Inputs'!$B$14=26,14,7)))</f>
        <v/>
      </c>
      <c r="C943" s="2" t="str">
        <f t="shared" si="44"/>
        <v/>
      </c>
      <c r="D943" s="2" t="str">
        <f>IF(A943="","",MIN('Loan Inputs'!$B$17,C943+E943)+H943)</f>
        <v/>
      </c>
      <c r="E943" s="2" t="str">
        <f>IF(A943="","",C943*'Loan Inputs'!$B$15)</f>
        <v/>
      </c>
      <c r="F943" s="2" t="str">
        <f t="shared" si="42"/>
        <v/>
      </c>
      <c r="G943" s="2" t="str">
        <f t="shared" si="43"/>
        <v/>
      </c>
      <c r="H943" s="2" t="str">
        <f>IF(A943="","",MIN('Loan Inputs'!$B$18,MAX(0,C943+E943-'Loan Inputs'!$B$17)))</f>
        <v/>
      </c>
    </row>
    <row r="944" spans="1:8" ht="22" customHeight="1">
      <c r="A944" s="1" t="str">
        <f>IF(AND('Loan Inputs'!$B$12,938&lt;=IF('Loan Inputs'!$B$12,'Loan Inputs'!$B$7,0)*'Loan Inputs'!$B$14+5*'Loan Inputs'!$B$14,ISNUMBER(G943),G943&gt;0),938,"")</f>
        <v/>
      </c>
      <c r="B944" s="4" t="str">
        <f>IF(A944="","",IF('Loan Inputs'!$B$14=12,DATE(YEAR('Loan Inputs'!$B$8),MONTH('Loan Inputs'!$B$8)+A944,DAY('Loan Inputs'!$B$8)),'Loan Inputs'!$B$8+A944*IF('Loan Inputs'!$B$14=26,14,7)))</f>
        <v/>
      </c>
      <c r="C944" s="2" t="str">
        <f t="shared" si="44"/>
        <v/>
      </c>
      <c r="D944" s="2" t="str">
        <f>IF(A944="","",MIN('Loan Inputs'!$B$17,C944+E944)+H944)</f>
        <v/>
      </c>
      <c r="E944" s="2" t="str">
        <f>IF(A944="","",C944*'Loan Inputs'!$B$15)</f>
        <v/>
      </c>
      <c r="F944" s="2" t="str">
        <f t="shared" si="42"/>
        <v/>
      </c>
      <c r="G944" s="2" t="str">
        <f t="shared" si="43"/>
        <v/>
      </c>
      <c r="H944" s="2" t="str">
        <f>IF(A944="","",MIN('Loan Inputs'!$B$18,MAX(0,C944+E944-'Loan Inputs'!$B$17)))</f>
        <v/>
      </c>
    </row>
    <row r="945" spans="1:8" ht="22" customHeight="1">
      <c r="A945" s="1" t="str">
        <f>IF(AND('Loan Inputs'!$B$12,939&lt;=IF('Loan Inputs'!$B$12,'Loan Inputs'!$B$7,0)*'Loan Inputs'!$B$14+5*'Loan Inputs'!$B$14,ISNUMBER(G944),G944&gt;0),939,"")</f>
        <v/>
      </c>
      <c r="B945" s="4" t="str">
        <f>IF(A945="","",IF('Loan Inputs'!$B$14=12,DATE(YEAR('Loan Inputs'!$B$8),MONTH('Loan Inputs'!$B$8)+A945,DAY('Loan Inputs'!$B$8)),'Loan Inputs'!$B$8+A945*IF('Loan Inputs'!$B$14=26,14,7)))</f>
        <v/>
      </c>
      <c r="C945" s="2" t="str">
        <f t="shared" si="44"/>
        <v/>
      </c>
      <c r="D945" s="2" t="str">
        <f>IF(A945="","",MIN('Loan Inputs'!$B$17,C945+E945)+H945)</f>
        <v/>
      </c>
      <c r="E945" s="2" t="str">
        <f>IF(A945="","",C945*'Loan Inputs'!$B$15)</f>
        <v/>
      </c>
      <c r="F945" s="2" t="str">
        <f t="shared" si="42"/>
        <v/>
      </c>
      <c r="G945" s="2" t="str">
        <f t="shared" si="43"/>
        <v/>
      </c>
      <c r="H945" s="2" t="str">
        <f>IF(A945="","",MIN('Loan Inputs'!$B$18,MAX(0,C945+E945-'Loan Inputs'!$B$17)))</f>
        <v/>
      </c>
    </row>
    <row r="946" spans="1:8" ht="22" customHeight="1">
      <c r="A946" s="1" t="str">
        <f>IF(AND('Loan Inputs'!$B$12,940&lt;=IF('Loan Inputs'!$B$12,'Loan Inputs'!$B$7,0)*'Loan Inputs'!$B$14+5*'Loan Inputs'!$B$14,ISNUMBER(G945),G945&gt;0),940,"")</f>
        <v/>
      </c>
      <c r="B946" s="4" t="str">
        <f>IF(A946="","",IF('Loan Inputs'!$B$14=12,DATE(YEAR('Loan Inputs'!$B$8),MONTH('Loan Inputs'!$B$8)+A946,DAY('Loan Inputs'!$B$8)),'Loan Inputs'!$B$8+A946*IF('Loan Inputs'!$B$14=26,14,7)))</f>
        <v/>
      </c>
      <c r="C946" s="2" t="str">
        <f t="shared" si="44"/>
        <v/>
      </c>
      <c r="D946" s="2" t="str">
        <f>IF(A946="","",MIN('Loan Inputs'!$B$17,C946+E946)+H946)</f>
        <v/>
      </c>
      <c r="E946" s="2" t="str">
        <f>IF(A946="","",C946*'Loan Inputs'!$B$15)</f>
        <v/>
      </c>
      <c r="F946" s="2" t="str">
        <f t="shared" si="42"/>
        <v/>
      </c>
      <c r="G946" s="2" t="str">
        <f t="shared" si="43"/>
        <v/>
      </c>
      <c r="H946" s="2" t="str">
        <f>IF(A946="","",MIN('Loan Inputs'!$B$18,MAX(0,C946+E946-'Loan Inputs'!$B$17)))</f>
        <v/>
      </c>
    </row>
    <row r="947" spans="1:8" ht="22" customHeight="1">
      <c r="A947" s="1" t="str">
        <f>IF(AND('Loan Inputs'!$B$12,941&lt;=IF('Loan Inputs'!$B$12,'Loan Inputs'!$B$7,0)*'Loan Inputs'!$B$14+5*'Loan Inputs'!$B$14,ISNUMBER(G946),G946&gt;0),941,"")</f>
        <v/>
      </c>
      <c r="B947" s="4" t="str">
        <f>IF(A947="","",IF('Loan Inputs'!$B$14=12,DATE(YEAR('Loan Inputs'!$B$8),MONTH('Loan Inputs'!$B$8)+A947,DAY('Loan Inputs'!$B$8)),'Loan Inputs'!$B$8+A947*IF('Loan Inputs'!$B$14=26,14,7)))</f>
        <v/>
      </c>
      <c r="C947" s="2" t="str">
        <f t="shared" si="44"/>
        <v/>
      </c>
      <c r="D947" s="2" t="str">
        <f>IF(A947="","",MIN('Loan Inputs'!$B$17,C947+E947)+H947)</f>
        <v/>
      </c>
      <c r="E947" s="2" t="str">
        <f>IF(A947="","",C947*'Loan Inputs'!$B$15)</f>
        <v/>
      </c>
      <c r="F947" s="2" t="str">
        <f t="shared" si="42"/>
        <v/>
      </c>
      <c r="G947" s="2" t="str">
        <f t="shared" si="43"/>
        <v/>
      </c>
      <c r="H947" s="2" t="str">
        <f>IF(A947="","",MIN('Loan Inputs'!$B$18,MAX(0,C947+E947-'Loan Inputs'!$B$17)))</f>
        <v/>
      </c>
    </row>
    <row r="948" spans="1:8" ht="22" customHeight="1">
      <c r="A948" s="1" t="str">
        <f>IF(AND('Loan Inputs'!$B$12,942&lt;=IF('Loan Inputs'!$B$12,'Loan Inputs'!$B$7,0)*'Loan Inputs'!$B$14+5*'Loan Inputs'!$B$14,ISNUMBER(G947),G947&gt;0),942,"")</f>
        <v/>
      </c>
      <c r="B948" s="4" t="str">
        <f>IF(A948="","",IF('Loan Inputs'!$B$14=12,DATE(YEAR('Loan Inputs'!$B$8),MONTH('Loan Inputs'!$B$8)+A948,DAY('Loan Inputs'!$B$8)),'Loan Inputs'!$B$8+A948*IF('Loan Inputs'!$B$14=26,14,7)))</f>
        <v/>
      </c>
      <c r="C948" s="2" t="str">
        <f t="shared" si="44"/>
        <v/>
      </c>
      <c r="D948" s="2" t="str">
        <f>IF(A948="","",MIN('Loan Inputs'!$B$17,C948+E948)+H948)</f>
        <v/>
      </c>
      <c r="E948" s="2" t="str">
        <f>IF(A948="","",C948*'Loan Inputs'!$B$15)</f>
        <v/>
      </c>
      <c r="F948" s="2" t="str">
        <f t="shared" si="42"/>
        <v/>
      </c>
      <c r="G948" s="2" t="str">
        <f t="shared" si="43"/>
        <v/>
      </c>
      <c r="H948" s="2" t="str">
        <f>IF(A948="","",MIN('Loan Inputs'!$B$18,MAX(0,C948+E948-'Loan Inputs'!$B$17)))</f>
        <v/>
      </c>
    </row>
    <row r="949" spans="1:8" ht="22" customHeight="1">
      <c r="A949" s="1" t="str">
        <f>IF(AND('Loan Inputs'!$B$12,943&lt;=IF('Loan Inputs'!$B$12,'Loan Inputs'!$B$7,0)*'Loan Inputs'!$B$14+5*'Loan Inputs'!$B$14,ISNUMBER(G948),G948&gt;0),943,"")</f>
        <v/>
      </c>
      <c r="B949" s="4" t="str">
        <f>IF(A949="","",IF('Loan Inputs'!$B$14=12,DATE(YEAR('Loan Inputs'!$B$8),MONTH('Loan Inputs'!$B$8)+A949,DAY('Loan Inputs'!$B$8)),'Loan Inputs'!$B$8+A949*IF('Loan Inputs'!$B$14=26,14,7)))</f>
        <v/>
      </c>
      <c r="C949" s="2" t="str">
        <f t="shared" si="44"/>
        <v/>
      </c>
      <c r="D949" s="2" t="str">
        <f>IF(A949="","",MIN('Loan Inputs'!$B$17,C949+E949)+H949)</f>
        <v/>
      </c>
      <c r="E949" s="2" t="str">
        <f>IF(A949="","",C949*'Loan Inputs'!$B$15)</f>
        <v/>
      </c>
      <c r="F949" s="2" t="str">
        <f t="shared" si="42"/>
        <v/>
      </c>
      <c r="G949" s="2" t="str">
        <f t="shared" si="43"/>
        <v/>
      </c>
      <c r="H949" s="2" t="str">
        <f>IF(A949="","",MIN('Loan Inputs'!$B$18,MAX(0,C949+E949-'Loan Inputs'!$B$17)))</f>
        <v/>
      </c>
    </row>
    <row r="950" spans="1:8" ht="22" customHeight="1">
      <c r="A950" s="1" t="str">
        <f>IF(AND('Loan Inputs'!$B$12,944&lt;=IF('Loan Inputs'!$B$12,'Loan Inputs'!$B$7,0)*'Loan Inputs'!$B$14+5*'Loan Inputs'!$B$14,ISNUMBER(G949),G949&gt;0),944,"")</f>
        <v/>
      </c>
      <c r="B950" s="4" t="str">
        <f>IF(A950="","",IF('Loan Inputs'!$B$14=12,DATE(YEAR('Loan Inputs'!$B$8),MONTH('Loan Inputs'!$B$8)+A950,DAY('Loan Inputs'!$B$8)),'Loan Inputs'!$B$8+A950*IF('Loan Inputs'!$B$14=26,14,7)))</f>
        <v/>
      </c>
      <c r="C950" s="2" t="str">
        <f t="shared" si="44"/>
        <v/>
      </c>
      <c r="D950" s="2" t="str">
        <f>IF(A950="","",MIN('Loan Inputs'!$B$17,C950+E950)+H950)</f>
        <v/>
      </c>
      <c r="E950" s="2" t="str">
        <f>IF(A950="","",C950*'Loan Inputs'!$B$15)</f>
        <v/>
      </c>
      <c r="F950" s="2" t="str">
        <f t="shared" si="42"/>
        <v/>
      </c>
      <c r="G950" s="2" t="str">
        <f t="shared" si="43"/>
        <v/>
      </c>
      <c r="H950" s="2" t="str">
        <f>IF(A950="","",MIN('Loan Inputs'!$B$18,MAX(0,C950+E950-'Loan Inputs'!$B$17)))</f>
        <v/>
      </c>
    </row>
    <row r="951" spans="1:8" ht="22" customHeight="1">
      <c r="A951" s="1" t="str">
        <f>IF(AND('Loan Inputs'!$B$12,945&lt;=IF('Loan Inputs'!$B$12,'Loan Inputs'!$B$7,0)*'Loan Inputs'!$B$14+5*'Loan Inputs'!$B$14,ISNUMBER(G950),G950&gt;0),945,"")</f>
        <v/>
      </c>
      <c r="B951" s="4" t="str">
        <f>IF(A951="","",IF('Loan Inputs'!$B$14=12,DATE(YEAR('Loan Inputs'!$B$8),MONTH('Loan Inputs'!$B$8)+A951,DAY('Loan Inputs'!$B$8)),'Loan Inputs'!$B$8+A951*IF('Loan Inputs'!$B$14=26,14,7)))</f>
        <v/>
      </c>
      <c r="C951" s="2" t="str">
        <f t="shared" si="44"/>
        <v/>
      </c>
      <c r="D951" s="2" t="str">
        <f>IF(A951="","",MIN('Loan Inputs'!$B$17,C951+E951)+H951)</f>
        <v/>
      </c>
      <c r="E951" s="2" t="str">
        <f>IF(A951="","",C951*'Loan Inputs'!$B$15)</f>
        <v/>
      </c>
      <c r="F951" s="2" t="str">
        <f t="shared" si="42"/>
        <v/>
      </c>
      <c r="G951" s="2" t="str">
        <f t="shared" si="43"/>
        <v/>
      </c>
      <c r="H951" s="2" t="str">
        <f>IF(A951="","",MIN('Loan Inputs'!$B$18,MAX(0,C951+E951-'Loan Inputs'!$B$17)))</f>
        <v/>
      </c>
    </row>
    <row r="952" spans="1:8" ht="22" customHeight="1">
      <c r="A952" s="1" t="str">
        <f>IF(AND('Loan Inputs'!$B$12,946&lt;=IF('Loan Inputs'!$B$12,'Loan Inputs'!$B$7,0)*'Loan Inputs'!$B$14+5*'Loan Inputs'!$B$14,ISNUMBER(G951),G951&gt;0),946,"")</f>
        <v/>
      </c>
      <c r="B952" s="4" t="str">
        <f>IF(A952="","",IF('Loan Inputs'!$B$14=12,DATE(YEAR('Loan Inputs'!$B$8),MONTH('Loan Inputs'!$B$8)+A952,DAY('Loan Inputs'!$B$8)),'Loan Inputs'!$B$8+A952*IF('Loan Inputs'!$B$14=26,14,7)))</f>
        <v/>
      </c>
      <c r="C952" s="2" t="str">
        <f t="shared" si="44"/>
        <v/>
      </c>
      <c r="D952" s="2" t="str">
        <f>IF(A952="","",MIN('Loan Inputs'!$B$17,C952+E952)+H952)</f>
        <v/>
      </c>
      <c r="E952" s="2" t="str">
        <f>IF(A952="","",C952*'Loan Inputs'!$B$15)</f>
        <v/>
      </c>
      <c r="F952" s="2" t="str">
        <f t="shared" si="42"/>
        <v/>
      </c>
      <c r="G952" s="2" t="str">
        <f t="shared" si="43"/>
        <v/>
      </c>
      <c r="H952" s="2" t="str">
        <f>IF(A952="","",MIN('Loan Inputs'!$B$18,MAX(0,C952+E952-'Loan Inputs'!$B$17)))</f>
        <v/>
      </c>
    </row>
    <row r="953" spans="1:8" ht="22" customHeight="1">
      <c r="A953" s="1" t="str">
        <f>IF(AND('Loan Inputs'!$B$12,947&lt;=IF('Loan Inputs'!$B$12,'Loan Inputs'!$B$7,0)*'Loan Inputs'!$B$14+5*'Loan Inputs'!$B$14,ISNUMBER(G952),G952&gt;0),947,"")</f>
        <v/>
      </c>
      <c r="B953" s="4" t="str">
        <f>IF(A953="","",IF('Loan Inputs'!$B$14=12,DATE(YEAR('Loan Inputs'!$B$8),MONTH('Loan Inputs'!$B$8)+A953,DAY('Loan Inputs'!$B$8)),'Loan Inputs'!$B$8+A953*IF('Loan Inputs'!$B$14=26,14,7)))</f>
        <v/>
      </c>
      <c r="C953" s="2" t="str">
        <f t="shared" si="44"/>
        <v/>
      </c>
      <c r="D953" s="2" t="str">
        <f>IF(A953="","",MIN('Loan Inputs'!$B$17,C953+E953)+H953)</f>
        <v/>
      </c>
      <c r="E953" s="2" t="str">
        <f>IF(A953="","",C953*'Loan Inputs'!$B$15)</f>
        <v/>
      </c>
      <c r="F953" s="2" t="str">
        <f t="shared" si="42"/>
        <v/>
      </c>
      <c r="G953" s="2" t="str">
        <f t="shared" si="43"/>
        <v/>
      </c>
      <c r="H953" s="2" t="str">
        <f>IF(A953="","",MIN('Loan Inputs'!$B$18,MAX(0,C953+E953-'Loan Inputs'!$B$17)))</f>
        <v/>
      </c>
    </row>
    <row r="954" spans="1:8" ht="22" customHeight="1">
      <c r="A954" s="1" t="str">
        <f>IF(AND('Loan Inputs'!$B$12,948&lt;=IF('Loan Inputs'!$B$12,'Loan Inputs'!$B$7,0)*'Loan Inputs'!$B$14+5*'Loan Inputs'!$B$14,ISNUMBER(G953),G953&gt;0),948,"")</f>
        <v/>
      </c>
      <c r="B954" s="4" t="str">
        <f>IF(A954="","",IF('Loan Inputs'!$B$14=12,DATE(YEAR('Loan Inputs'!$B$8),MONTH('Loan Inputs'!$B$8)+A954,DAY('Loan Inputs'!$B$8)),'Loan Inputs'!$B$8+A954*IF('Loan Inputs'!$B$14=26,14,7)))</f>
        <v/>
      </c>
      <c r="C954" s="2" t="str">
        <f t="shared" si="44"/>
        <v/>
      </c>
      <c r="D954" s="2" t="str">
        <f>IF(A954="","",MIN('Loan Inputs'!$B$17,C954+E954)+H954)</f>
        <v/>
      </c>
      <c r="E954" s="2" t="str">
        <f>IF(A954="","",C954*'Loan Inputs'!$B$15)</f>
        <v/>
      </c>
      <c r="F954" s="2" t="str">
        <f t="shared" si="42"/>
        <v/>
      </c>
      <c r="G954" s="2" t="str">
        <f t="shared" si="43"/>
        <v/>
      </c>
      <c r="H954" s="2" t="str">
        <f>IF(A954="","",MIN('Loan Inputs'!$B$18,MAX(0,C954+E954-'Loan Inputs'!$B$17)))</f>
        <v/>
      </c>
    </row>
    <row r="955" spans="1:8" ht="22" customHeight="1">
      <c r="A955" s="1" t="str">
        <f>IF(AND('Loan Inputs'!$B$12,949&lt;=IF('Loan Inputs'!$B$12,'Loan Inputs'!$B$7,0)*'Loan Inputs'!$B$14+5*'Loan Inputs'!$B$14,ISNUMBER(G954),G954&gt;0),949,"")</f>
        <v/>
      </c>
      <c r="B955" s="4" t="str">
        <f>IF(A955="","",IF('Loan Inputs'!$B$14=12,DATE(YEAR('Loan Inputs'!$B$8),MONTH('Loan Inputs'!$B$8)+A955,DAY('Loan Inputs'!$B$8)),'Loan Inputs'!$B$8+A955*IF('Loan Inputs'!$B$14=26,14,7)))</f>
        <v/>
      </c>
      <c r="C955" s="2" t="str">
        <f t="shared" si="44"/>
        <v/>
      </c>
      <c r="D955" s="2" t="str">
        <f>IF(A955="","",MIN('Loan Inputs'!$B$17,C955+E955)+H955)</f>
        <v/>
      </c>
      <c r="E955" s="2" t="str">
        <f>IF(A955="","",C955*'Loan Inputs'!$B$15)</f>
        <v/>
      </c>
      <c r="F955" s="2" t="str">
        <f t="shared" si="42"/>
        <v/>
      </c>
      <c r="G955" s="2" t="str">
        <f t="shared" si="43"/>
        <v/>
      </c>
      <c r="H955" s="2" t="str">
        <f>IF(A955="","",MIN('Loan Inputs'!$B$18,MAX(0,C955+E955-'Loan Inputs'!$B$17)))</f>
        <v/>
      </c>
    </row>
    <row r="956" spans="1:8" ht="22" customHeight="1">
      <c r="A956" s="1" t="str">
        <f>IF(AND('Loan Inputs'!$B$12,950&lt;=IF('Loan Inputs'!$B$12,'Loan Inputs'!$B$7,0)*'Loan Inputs'!$B$14+5*'Loan Inputs'!$B$14,ISNUMBER(G955),G955&gt;0),950,"")</f>
        <v/>
      </c>
      <c r="B956" s="4" t="str">
        <f>IF(A956="","",IF('Loan Inputs'!$B$14=12,DATE(YEAR('Loan Inputs'!$B$8),MONTH('Loan Inputs'!$B$8)+A956,DAY('Loan Inputs'!$B$8)),'Loan Inputs'!$B$8+A956*IF('Loan Inputs'!$B$14=26,14,7)))</f>
        <v/>
      </c>
      <c r="C956" s="2" t="str">
        <f t="shared" si="44"/>
        <v/>
      </c>
      <c r="D956" s="2" t="str">
        <f>IF(A956="","",MIN('Loan Inputs'!$B$17,C956+E956)+H956)</f>
        <v/>
      </c>
      <c r="E956" s="2" t="str">
        <f>IF(A956="","",C956*'Loan Inputs'!$B$15)</f>
        <v/>
      </c>
      <c r="F956" s="2" t="str">
        <f t="shared" si="42"/>
        <v/>
      </c>
      <c r="G956" s="2" t="str">
        <f t="shared" si="43"/>
        <v/>
      </c>
      <c r="H956" s="2" t="str">
        <f>IF(A956="","",MIN('Loan Inputs'!$B$18,MAX(0,C956+E956-'Loan Inputs'!$B$17)))</f>
        <v/>
      </c>
    </row>
    <row r="957" spans="1:8" ht="22" customHeight="1">
      <c r="A957" s="1" t="str">
        <f>IF(AND('Loan Inputs'!$B$12,951&lt;=IF('Loan Inputs'!$B$12,'Loan Inputs'!$B$7,0)*'Loan Inputs'!$B$14+5*'Loan Inputs'!$B$14,ISNUMBER(G956),G956&gt;0),951,"")</f>
        <v/>
      </c>
      <c r="B957" s="4" t="str">
        <f>IF(A957="","",IF('Loan Inputs'!$B$14=12,DATE(YEAR('Loan Inputs'!$B$8),MONTH('Loan Inputs'!$B$8)+A957,DAY('Loan Inputs'!$B$8)),'Loan Inputs'!$B$8+A957*IF('Loan Inputs'!$B$14=26,14,7)))</f>
        <v/>
      </c>
      <c r="C957" s="2" t="str">
        <f t="shared" si="44"/>
        <v/>
      </c>
      <c r="D957" s="2" t="str">
        <f>IF(A957="","",MIN('Loan Inputs'!$B$17,C957+E957)+H957)</f>
        <v/>
      </c>
      <c r="E957" s="2" t="str">
        <f>IF(A957="","",C957*'Loan Inputs'!$B$15)</f>
        <v/>
      </c>
      <c r="F957" s="2" t="str">
        <f t="shared" si="42"/>
        <v/>
      </c>
      <c r="G957" s="2" t="str">
        <f t="shared" si="43"/>
        <v/>
      </c>
      <c r="H957" s="2" t="str">
        <f>IF(A957="","",MIN('Loan Inputs'!$B$18,MAX(0,C957+E957-'Loan Inputs'!$B$17)))</f>
        <v/>
      </c>
    </row>
    <row r="958" spans="1:8" ht="22" customHeight="1">
      <c r="A958" s="1" t="str">
        <f>IF(AND('Loan Inputs'!$B$12,952&lt;=IF('Loan Inputs'!$B$12,'Loan Inputs'!$B$7,0)*'Loan Inputs'!$B$14+5*'Loan Inputs'!$B$14,ISNUMBER(G957),G957&gt;0),952,"")</f>
        <v/>
      </c>
      <c r="B958" s="4" t="str">
        <f>IF(A958="","",IF('Loan Inputs'!$B$14=12,DATE(YEAR('Loan Inputs'!$B$8),MONTH('Loan Inputs'!$B$8)+A958,DAY('Loan Inputs'!$B$8)),'Loan Inputs'!$B$8+A958*IF('Loan Inputs'!$B$14=26,14,7)))</f>
        <v/>
      </c>
      <c r="C958" s="2" t="str">
        <f t="shared" si="44"/>
        <v/>
      </c>
      <c r="D958" s="2" t="str">
        <f>IF(A958="","",MIN('Loan Inputs'!$B$17,C958+E958)+H958)</f>
        <v/>
      </c>
      <c r="E958" s="2" t="str">
        <f>IF(A958="","",C958*'Loan Inputs'!$B$15)</f>
        <v/>
      </c>
      <c r="F958" s="2" t="str">
        <f t="shared" si="42"/>
        <v/>
      </c>
      <c r="G958" s="2" t="str">
        <f t="shared" si="43"/>
        <v/>
      </c>
      <c r="H958" s="2" t="str">
        <f>IF(A958="","",MIN('Loan Inputs'!$B$18,MAX(0,C958+E958-'Loan Inputs'!$B$17)))</f>
        <v/>
      </c>
    </row>
    <row r="959" spans="1:8" ht="22" customHeight="1">
      <c r="A959" s="1" t="str">
        <f>IF(AND('Loan Inputs'!$B$12,953&lt;=IF('Loan Inputs'!$B$12,'Loan Inputs'!$B$7,0)*'Loan Inputs'!$B$14+5*'Loan Inputs'!$B$14,ISNUMBER(G958),G958&gt;0),953,"")</f>
        <v/>
      </c>
      <c r="B959" s="4" t="str">
        <f>IF(A959="","",IF('Loan Inputs'!$B$14=12,DATE(YEAR('Loan Inputs'!$B$8),MONTH('Loan Inputs'!$B$8)+A959,DAY('Loan Inputs'!$B$8)),'Loan Inputs'!$B$8+A959*IF('Loan Inputs'!$B$14=26,14,7)))</f>
        <v/>
      </c>
      <c r="C959" s="2" t="str">
        <f t="shared" si="44"/>
        <v/>
      </c>
      <c r="D959" s="2" t="str">
        <f>IF(A959="","",MIN('Loan Inputs'!$B$17,C959+E959)+H959)</f>
        <v/>
      </c>
      <c r="E959" s="2" t="str">
        <f>IF(A959="","",C959*'Loan Inputs'!$B$15)</f>
        <v/>
      </c>
      <c r="F959" s="2" t="str">
        <f t="shared" si="42"/>
        <v/>
      </c>
      <c r="G959" s="2" t="str">
        <f t="shared" si="43"/>
        <v/>
      </c>
      <c r="H959" s="2" t="str">
        <f>IF(A959="","",MIN('Loan Inputs'!$B$18,MAX(0,C959+E959-'Loan Inputs'!$B$17)))</f>
        <v/>
      </c>
    </row>
    <row r="960" spans="1:8" ht="22" customHeight="1">
      <c r="A960" s="1" t="str">
        <f>IF(AND('Loan Inputs'!$B$12,954&lt;=IF('Loan Inputs'!$B$12,'Loan Inputs'!$B$7,0)*'Loan Inputs'!$B$14+5*'Loan Inputs'!$B$14,ISNUMBER(G959),G959&gt;0),954,"")</f>
        <v/>
      </c>
      <c r="B960" s="4" t="str">
        <f>IF(A960="","",IF('Loan Inputs'!$B$14=12,DATE(YEAR('Loan Inputs'!$B$8),MONTH('Loan Inputs'!$B$8)+A960,DAY('Loan Inputs'!$B$8)),'Loan Inputs'!$B$8+A960*IF('Loan Inputs'!$B$14=26,14,7)))</f>
        <v/>
      </c>
      <c r="C960" s="2" t="str">
        <f t="shared" si="44"/>
        <v/>
      </c>
      <c r="D960" s="2" t="str">
        <f>IF(A960="","",MIN('Loan Inputs'!$B$17,C960+E960)+H960)</f>
        <v/>
      </c>
      <c r="E960" s="2" t="str">
        <f>IF(A960="","",C960*'Loan Inputs'!$B$15)</f>
        <v/>
      </c>
      <c r="F960" s="2" t="str">
        <f t="shared" si="42"/>
        <v/>
      </c>
      <c r="G960" s="2" t="str">
        <f t="shared" si="43"/>
        <v/>
      </c>
      <c r="H960" s="2" t="str">
        <f>IF(A960="","",MIN('Loan Inputs'!$B$18,MAX(0,C960+E960-'Loan Inputs'!$B$17)))</f>
        <v/>
      </c>
    </row>
    <row r="961" spans="1:8" ht="22" customHeight="1">
      <c r="A961" s="1" t="str">
        <f>IF(AND('Loan Inputs'!$B$12,955&lt;=IF('Loan Inputs'!$B$12,'Loan Inputs'!$B$7,0)*'Loan Inputs'!$B$14+5*'Loan Inputs'!$B$14,ISNUMBER(G960),G960&gt;0),955,"")</f>
        <v/>
      </c>
      <c r="B961" s="4" t="str">
        <f>IF(A961="","",IF('Loan Inputs'!$B$14=12,DATE(YEAR('Loan Inputs'!$B$8),MONTH('Loan Inputs'!$B$8)+A961,DAY('Loan Inputs'!$B$8)),'Loan Inputs'!$B$8+A961*IF('Loan Inputs'!$B$14=26,14,7)))</f>
        <v/>
      </c>
      <c r="C961" s="2" t="str">
        <f t="shared" si="44"/>
        <v/>
      </c>
      <c r="D961" s="2" t="str">
        <f>IF(A961="","",MIN('Loan Inputs'!$B$17,C961+E961)+H961)</f>
        <v/>
      </c>
      <c r="E961" s="2" t="str">
        <f>IF(A961="","",C961*'Loan Inputs'!$B$15)</f>
        <v/>
      </c>
      <c r="F961" s="2" t="str">
        <f t="shared" si="42"/>
        <v/>
      </c>
      <c r="G961" s="2" t="str">
        <f t="shared" si="43"/>
        <v/>
      </c>
      <c r="H961" s="2" t="str">
        <f>IF(A961="","",MIN('Loan Inputs'!$B$18,MAX(0,C961+E961-'Loan Inputs'!$B$17)))</f>
        <v/>
      </c>
    </row>
    <row r="962" spans="1:8" ht="22" customHeight="1">
      <c r="A962" s="1" t="str">
        <f>IF(AND('Loan Inputs'!$B$12,956&lt;=IF('Loan Inputs'!$B$12,'Loan Inputs'!$B$7,0)*'Loan Inputs'!$B$14+5*'Loan Inputs'!$B$14,ISNUMBER(G961),G961&gt;0),956,"")</f>
        <v/>
      </c>
      <c r="B962" s="4" t="str">
        <f>IF(A962="","",IF('Loan Inputs'!$B$14=12,DATE(YEAR('Loan Inputs'!$B$8),MONTH('Loan Inputs'!$B$8)+A962,DAY('Loan Inputs'!$B$8)),'Loan Inputs'!$B$8+A962*IF('Loan Inputs'!$B$14=26,14,7)))</f>
        <v/>
      </c>
      <c r="C962" s="2" t="str">
        <f t="shared" si="44"/>
        <v/>
      </c>
      <c r="D962" s="2" t="str">
        <f>IF(A962="","",MIN('Loan Inputs'!$B$17,C962+E962)+H962)</f>
        <v/>
      </c>
      <c r="E962" s="2" t="str">
        <f>IF(A962="","",C962*'Loan Inputs'!$B$15)</f>
        <v/>
      </c>
      <c r="F962" s="2" t="str">
        <f t="shared" si="42"/>
        <v/>
      </c>
      <c r="G962" s="2" t="str">
        <f t="shared" si="43"/>
        <v/>
      </c>
      <c r="H962" s="2" t="str">
        <f>IF(A962="","",MIN('Loan Inputs'!$B$18,MAX(0,C962+E962-'Loan Inputs'!$B$17)))</f>
        <v/>
      </c>
    </row>
    <row r="963" spans="1:8" ht="22" customHeight="1">
      <c r="A963" s="1" t="str">
        <f>IF(AND('Loan Inputs'!$B$12,957&lt;=IF('Loan Inputs'!$B$12,'Loan Inputs'!$B$7,0)*'Loan Inputs'!$B$14+5*'Loan Inputs'!$B$14,ISNUMBER(G962),G962&gt;0),957,"")</f>
        <v/>
      </c>
      <c r="B963" s="4" t="str">
        <f>IF(A963="","",IF('Loan Inputs'!$B$14=12,DATE(YEAR('Loan Inputs'!$B$8),MONTH('Loan Inputs'!$B$8)+A963,DAY('Loan Inputs'!$B$8)),'Loan Inputs'!$B$8+A963*IF('Loan Inputs'!$B$14=26,14,7)))</f>
        <v/>
      </c>
      <c r="C963" s="2" t="str">
        <f t="shared" si="44"/>
        <v/>
      </c>
      <c r="D963" s="2" t="str">
        <f>IF(A963="","",MIN('Loan Inputs'!$B$17,C963+E963)+H963)</f>
        <v/>
      </c>
      <c r="E963" s="2" t="str">
        <f>IF(A963="","",C963*'Loan Inputs'!$B$15)</f>
        <v/>
      </c>
      <c r="F963" s="2" t="str">
        <f t="shared" si="42"/>
        <v/>
      </c>
      <c r="G963" s="2" t="str">
        <f t="shared" si="43"/>
        <v/>
      </c>
      <c r="H963" s="2" t="str">
        <f>IF(A963="","",MIN('Loan Inputs'!$B$18,MAX(0,C963+E963-'Loan Inputs'!$B$17)))</f>
        <v/>
      </c>
    </row>
    <row r="964" spans="1:8" ht="22" customHeight="1">
      <c r="A964" s="1" t="str">
        <f>IF(AND('Loan Inputs'!$B$12,958&lt;=IF('Loan Inputs'!$B$12,'Loan Inputs'!$B$7,0)*'Loan Inputs'!$B$14+5*'Loan Inputs'!$B$14,ISNUMBER(G963),G963&gt;0),958,"")</f>
        <v/>
      </c>
      <c r="B964" s="4" t="str">
        <f>IF(A964="","",IF('Loan Inputs'!$B$14=12,DATE(YEAR('Loan Inputs'!$B$8),MONTH('Loan Inputs'!$B$8)+A964,DAY('Loan Inputs'!$B$8)),'Loan Inputs'!$B$8+A964*IF('Loan Inputs'!$B$14=26,14,7)))</f>
        <v/>
      </c>
      <c r="C964" s="2" t="str">
        <f t="shared" si="44"/>
        <v/>
      </c>
      <c r="D964" s="2" t="str">
        <f>IF(A964="","",MIN('Loan Inputs'!$B$17,C964+E964)+H964)</f>
        <v/>
      </c>
      <c r="E964" s="2" t="str">
        <f>IF(A964="","",C964*'Loan Inputs'!$B$15)</f>
        <v/>
      </c>
      <c r="F964" s="2" t="str">
        <f t="shared" si="42"/>
        <v/>
      </c>
      <c r="G964" s="2" t="str">
        <f t="shared" si="43"/>
        <v/>
      </c>
      <c r="H964" s="2" t="str">
        <f>IF(A964="","",MIN('Loan Inputs'!$B$18,MAX(0,C964+E964-'Loan Inputs'!$B$17)))</f>
        <v/>
      </c>
    </row>
    <row r="965" spans="1:8" ht="22" customHeight="1">
      <c r="A965" s="1" t="str">
        <f>IF(AND('Loan Inputs'!$B$12,959&lt;=IF('Loan Inputs'!$B$12,'Loan Inputs'!$B$7,0)*'Loan Inputs'!$B$14+5*'Loan Inputs'!$B$14,ISNUMBER(G964),G964&gt;0),959,"")</f>
        <v/>
      </c>
      <c r="B965" s="4" t="str">
        <f>IF(A965="","",IF('Loan Inputs'!$B$14=12,DATE(YEAR('Loan Inputs'!$B$8),MONTH('Loan Inputs'!$B$8)+A965,DAY('Loan Inputs'!$B$8)),'Loan Inputs'!$B$8+A965*IF('Loan Inputs'!$B$14=26,14,7)))</f>
        <v/>
      </c>
      <c r="C965" s="2" t="str">
        <f t="shared" si="44"/>
        <v/>
      </c>
      <c r="D965" s="2" t="str">
        <f>IF(A965="","",MIN('Loan Inputs'!$B$17,C965+E965)+H965)</f>
        <v/>
      </c>
      <c r="E965" s="2" t="str">
        <f>IF(A965="","",C965*'Loan Inputs'!$B$15)</f>
        <v/>
      </c>
      <c r="F965" s="2" t="str">
        <f t="shared" si="42"/>
        <v/>
      </c>
      <c r="G965" s="2" t="str">
        <f t="shared" si="43"/>
        <v/>
      </c>
      <c r="H965" s="2" t="str">
        <f>IF(A965="","",MIN('Loan Inputs'!$B$18,MAX(0,C965+E965-'Loan Inputs'!$B$17)))</f>
        <v/>
      </c>
    </row>
    <row r="966" spans="1:8" ht="22" customHeight="1">
      <c r="A966" s="1" t="str">
        <f>IF(AND('Loan Inputs'!$B$12,960&lt;=IF('Loan Inputs'!$B$12,'Loan Inputs'!$B$7,0)*'Loan Inputs'!$B$14+5*'Loan Inputs'!$B$14,ISNUMBER(G965),G965&gt;0),960,"")</f>
        <v/>
      </c>
      <c r="B966" s="4" t="str">
        <f>IF(A966="","",IF('Loan Inputs'!$B$14=12,DATE(YEAR('Loan Inputs'!$B$8),MONTH('Loan Inputs'!$B$8)+A966,DAY('Loan Inputs'!$B$8)),'Loan Inputs'!$B$8+A966*IF('Loan Inputs'!$B$14=26,14,7)))</f>
        <v/>
      </c>
      <c r="C966" s="2" t="str">
        <f t="shared" si="44"/>
        <v/>
      </c>
      <c r="D966" s="2" t="str">
        <f>IF(A966="","",MIN('Loan Inputs'!$B$17,C966+E966)+H966)</f>
        <v/>
      </c>
      <c r="E966" s="2" t="str">
        <f>IF(A966="","",C966*'Loan Inputs'!$B$15)</f>
        <v/>
      </c>
      <c r="F966" s="2" t="str">
        <f t="shared" si="42"/>
        <v/>
      </c>
      <c r="G966" s="2" t="str">
        <f t="shared" si="43"/>
        <v/>
      </c>
      <c r="H966" s="2" t="str">
        <f>IF(A966="","",MIN('Loan Inputs'!$B$18,MAX(0,C966+E966-'Loan Inputs'!$B$17)))</f>
        <v/>
      </c>
    </row>
    <row r="967" spans="1:8" ht="22" customHeight="1">
      <c r="A967" s="1" t="str">
        <f>IF(AND('Loan Inputs'!$B$12,961&lt;=IF('Loan Inputs'!$B$12,'Loan Inputs'!$B$7,0)*'Loan Inputs'!$B$14+5*'Loan Inputs'!$B$14,ISNUMBER(G966),G966&gt;0),961,"")</f>
        <v/>
      </c>
      <c r="B967" s="4" t="str">
        <f>IF(A967="","",IF('Loan Inputs'!$B$14=12,DATE(YEAR('Loan Inputs'!$B$8),MONTH('Loan Inputs'!$B$8)+A967,DAY('Loan Inputs'!$B$8)),'Loan Inputs'!$B$8+A967*IF('Loan Inputs'!$B$14=26,14,7)))</f>
        <v/>
      </c>
      <c r="C967" s="2" t="str">
        <f t="shared" si="44"/>
        <v/>
      </c>
      <c r="D967" s="2" t="str">
        <f>IF(A967="","",MIN('Loan Inputs'!$B$17,C967+E967)+H967)</f>
        <v/>
      </c>
      <c r="E967" s="2" t="str">
        <f>IF(A967="","",C967*'Loan Inputs'!$B$15)</f>
        <v/>
      </c>
      <c r="F967" s="2" t="str">
        <f t="shared" ref="F967:F1030" si="45">IF(A967="","",MIN(C967,D967-E967))</f>
        <v/>
      </c>
      <c r="G967" s="2" t="str">
        <f t="shared" ref="G967:G1030" si="46">IF(A967="","",IF(C967-F967&lt;0.0000001,0,MAX(0,C967-F967)))</f>
        <v/>
      </c>
      <c r="H967" s="2" t="str">
        <f>IF(A967="","",MIN('Loan Inputs'!$B$18,MAX(0,C967+E967-'Loan Inputs'!$B$17)))</f>
        <v/>
      </c>
    </row>
    <row r="968" spans="1:8" ht="22" customHeight="1">
      <c r="A968" s="1" t="str">
        <f>IF(AND('Loan Inputs'!$B$12,962&lt;=IF('Loan Inputs'!$B$12,'Loan Inputs'!$B$7,0)*'Loan Inputs'!$B$14+5*'Loan Inputs'!$B$14,ISNUMBER(G967),G967&gt;0),962,"")</f>
        <v/>
      </c>
      <c r="B968" s="4" t="str">
        <f>IF(A968="","",IF('Loan Inputs'!$B$14=12,DATE(YEAR('Loan Inputs'!$B$8),MONTH('Loan Inputs'!$B$8)+A968,DAY('Loan Inputs'!$B$8)),'Loan Inputs'!$B$8+A968*IF('Loan Inputs'!$B$14=26,14,7)))</f>
        <v/>
      </c>
      <c r="C968" s="2" t="str">
        <f t="shared" ref="C968:C1031" si="47">IF(A968="","",G967)</f>
        <v/>
      </c>
      <c r="D968" s="2" t="str">
        <f>IF(A968="","",MIN('Loan Inputs'!$B$17,C968+E968)+H968)</f>
        <v/>
      </c>
      <c r="E968" s="2" t="str">
        <f>IF(A968="","",C968*'Loan Inputs'!$B$15)</f>
        <v/>
      </c>
      <c r="F968" s="2" t="str">
        <f t="shared" si="45"/>
        <v/>
      </c>
      <c r="G968" s="2" t="str">
        <f t="shared" si="46"/>
        <v/>
      </c>
      <c r="H968" s="2" t="str">
        <f>IF(A968="","",MIN('Loan Inputs'!$B$18,MAX(0,C968+E968-'Loan Inputs'!$B$17)))</f>
        <v/>
      </c>
    </row>
    <row r="969" spans="1:8" ht="22" customHeight="1">
      <c r="A969" s="1" t="str">
        <f>IF(AND('Loan Inputs'!$B$12,963&lt;=IF('Loan Inputs'!$B$12,'Loan Inputs'!$B$7,0)*'Loan Inputs'!$B$14+5*'Loan Inputs'!$B$14,ISNUMBER(G968),G968&gt;0),963,"")</f>
        <v/>
      </c>
      <c r="B969" s="4" t="str">
        <f>IF(A969="","",IF('Loan Inputs'!$B$14=12,DATE(YEAR('Loan Inputs'!$B$8),MONTH('Loan Inputs'!$B$8)+A969,DAY('Loan Inputs'!$B$8)),'Loan Inputs'!$B$8+A969*IF('Loan Inputs'!$B$14=26,14,7)))</f>
        <v/>
      </c>
      <c r="C969" s="2" t="str">
        <f t="shared" si="47"/>
        <v/>
      </c>
      <c r="D969" s="2" t="str">
        <f>IF(A969="","",MIN('Loan Inputs'!$B$17,C969+E969)+H969)</f>
        <v/>
      </c>
      <c r="E969" s="2" t="str">
        <f>IF(A969="","",C969*'Loan Inputs'!$B$15)</f>
        <v/>
      </c>
      <c r="F969" s="2" t="str">
        <f t="shared" si="45"/>
        <v/>
      </c>
      <c r="G969" s="2" t="str">
        <f t="shared" si="46"/>
        <v/>
      </c>
      <c r="H969" s="2" t="str">
        <f>IF(A969="","",MIN('Loan Inputs'!$B$18,MAX(0,C969+E969-'Loan Inputs'!$B$17)))</f>
        <v/>
      </c>
    </row>
    <row r="970" spans="1:8" ht="22" customHeight="1">
      <c r="A970" s="1" t="str">
        <f>IF(AND('Loan Inputs'!$B$12,964&lt;=IF('Loan Inputs'!$B$12,'Loan Inputs'!$B$7,0)*'Loan Inputs'!$B$14+5*'Loan Inputs'!$B$14,ISNUMBER(G969),G969&gt;0),964,"")</f>
        <v/>
      </c>
      <c r="B970" s="4" t="str">
        <f>IF(A970="","",IF('Loan Inputs'!$B$14=12,DATE(YEAR('Loan Inputs'!$B$8),MONTH('Loan Inputs'!$B$8)+A970,DAY('Loan Inputs'!$B$8)),'Loan Inputs'!$B$8+A970*IF('Loan Inputs'!$B$14=26,14,7)))</f>
        <v/>
      </c>
      <c r="C970" s="2" t="str">
        <f t="shared" si="47"/>
        <v/>
      </c>
      <c r="D970" s="2" t="str">
        <f>IF(A970="","",MIN('Loan Inputs'!$B$17,C970+E970)+H970)</f>
        <v/>
      </c>
      <c r="E970" s="2" t="str">
        <f>IF(A970="","",C970*'Loan Inputs'!$B$15)</f>
        <v/>
      </c>
      <c r="F970" s="2" t="str">
        <f t="shared" si="45"/>
        <v/>
      </c>
      <c r="G970" s="2" t="str">
        <f t="shared" si="46"/>
        <v/>
      </c>
      <c r="H970" s="2" t="str">
        <f>IF(A970="","",MIN('Loan Inputs'!$B$18,MAX(0,C970+E970-'Loan Inputs'!$B$17)))</f>
        <v/>
      </c>
    </row>
    <row r="971" spans="1:8" ht="22" customHeight="1">
      <c r="A971" s="1" t="str">
        <f>IF(AND('Loan Inputs'!$B$12,965&lt;=IF('Loan Inputs'!$B$12,'Loan Inputs'!$B$7,0)*'Loan Inputs'!$B$14+5*'Loan Inputs'!$B$14,ISNUMBER(G970),G970&gt;0),965,"")</f>
        <v/>
      </c>
      <c r="B971" s="4" t="str">
        <f>IF(A971="","",IF('Loan Inputs'!$B$14=12,DATE(YEAR('Loan Inputs'!$B$8),MONTH('Loan Inputs'!$B$8)+A971,DAY('Loan Inputs'!$B$8)),'Loan Inputs'!$B$8+A971*IF('Loan Inputs'!$B$14=26,14,7)))</f>
        <v/>
      </c>
      <c r="C971" s="2" t="str">
        <f t="shared" si="47"/>
        <v/>
      </c>
      <c r="D971" s="2" t="str">
        <f>IF(A971="","",MIN('Loan Inputs'!$B$17,C971+E971)+H971)</f>
        <v/>
      </c>
      <c r="E971" s="2" t="str">
        <f>IF(A971="","",C971*'Loan Inputs'!$B$15)</f>
        <v/>
      </c>
      <c r="F971" s="2" t="str">
        <f t="shared" si="45"/>
        <v/>
      </c>
      <c r="G971" s="2" t="str">
        <f t="shared" si="46"/>
        <v/>
      </c>
      <c r="H971" s="2" t="str">
        <f>IF(A971="","",MIN('Loan Inputs'!$B$18,MAX(0,C971+E971-'Loan Inputs'!$B$17)))</f>
        <v/>
      </c>
    </row>
    <row r="972" spans="1:8" ht="22" customHeight="1">
      <c r="A972" s="1" t="str">
        <f>IF(AND('Loan Inputs'!$B$12,966&lt;=IF('Loan Inputs'!$B$12,'Loan Inputs'!$B$7,0)*'Loan Inputs'!$B$14+5*'Loan Inputs'!$B$14,ISNUMBER(G971),G971&gt;0),966,"")</f>
        <v/>
      </c>
      <c r="B972" s="4" t="str">
        <f>IF(A972="","",IF('Loan Inputs'!$B$14=12,DATE(YEAR('Loan Inputs'!$B$8),MONTH('Loan Inputs'!$B$8)+A972,DAY('Loan Inputs'!$B$8)),'Loan Inputs'!$B$8+A972*IF('Loan Inputs'!$B$14=26,14,7)))</f>
        <v/>
      </c>
      <c r="C972" s="2" t="str">
        <f t="shared" si="47"/>
        <v/>
      </c>
      <c r="D972" s="2" t="str">
        <f>IF(A972="","",MIN('Loan Inputs'!$B$17,C972+E972)+H972)</f>
        <v/>
      </c>
      <c r="E972" s="2" t="str">
        <f>IF(A972="","",C972*'Loan Inputs'!$B$15)</f>
        <v/>
      </c>
      <c r="F972" s="2" t="str">
        <f t="shared" si="45"/>
        <v/>
      </c>
      <c r="G972" s="2" t="str">
        <f t="shared" si="46"/>
        <v/>
      </c>
      <c r="H972" s="2" t="str">
        <f>IF(A972="","",MIN('Loan Inputs'!$B$18,MAX(0,C972+E972-'Loan Inputs'!$B$17)))</f>
        <v/>
      </c>
    </row>
    <row r="973" spans="1:8" ht="22" customHeight="1">
      <c r="A973" s="1" t="str">
        <f>IF(AND('Loan Inputs'!$B$12,967&lt;=IF('Loan Inputs'!$B$12,'Loan Inputs'!$B$7,0)*'Loan Inputs'!$B$14+5*'Loan Inputs'!$B$14,ISNUMBER(G972),G972&gt;0),967,"")</f>
        <v/>
      </c>
      <c r="B973" s="4" t="str">
        <f>IF(A973="","",IF('Loan Inputs'!$B$14=12,DATE(YEAR('Loan Inputs'!$B$8),MONTH('Loan Inputs'!$B$8)+A973,DAY('Loan Inputs'!$B$8)),'Loan Inputs'!$B$8+A973*IF('Loan Inputs'!$B$14=26,14,7)))</f>
        <v/>
      </c>
      <c r="C973" s="2" t="str">
        <f t="shared" si="47"/>
        <v/>
      </c>
      <c r="D973" s="2" t="str">
        <f>IF(A973="","",MIN('Loan Inputs'!$B$17,C973+E973)+H973)</f>
        <v/>
      </c>
      <c r="E973" s="2" t="str">
        <f>IF(A973="","",C973*'Loan Inputs'!$B$15)</f>
        <v/>
      </c>
      <c r="F973" s="2" t="str">
        <f t="shared" si="45"/>
        <v/>
      </c>
      <c r="G973" s="2" t="str">
        <f t="shared" si="46"/>
        <v/>
      </c>
      <c r="H973" s="2" t="str">
        <f>IF(A973="","",MIN('Loan Inputs'!$B$18,MAX(0,C973+E973-'Loan Inputs'!$B$17)))</f>
        <v/>
      </c>
    </row>
    <row r="974" spans="1:8" ht="22" customHeight="1">
      <c r="A974" s="1" t="str">
        <f>IF(AND('Loan Inputs'!$B$12,968&lt;=IF('Loan Inputs'!$B$12,'Loan Inputs'!$B$7,0)*'Loan Inputs'!$B$14+5*'Loan Inputs'!$B$14,ISNUMBER(G973),G973&gt;0),968,"")</f>
        <v/>
      </c>
      <c r="B974" s="4" t="str">
        <f>IF(A974="","",IF('Loan Inputs'!$B$14=12,DATE(YEAR('Loan Inputs'!$B$8),MONTH('Loan Inputs'!$B$8)+A974,DAY('Loan Inputs'!$B$8)),'Loan Inputs'!$B$8+A974*IF('Loan Inputs'!$B$14=26,14,7)))</f>
        <v/>
      </c>
      <c r="C974" s="2" t="str">
        <f t="shared" si="47"/>
        <v/>
      </c>
      <c r="D974" s="2" t="str">
        <f>IF(A974="","",MIN('Loan Inputs'!$B$17,C974+E974)+H974)</f>
        <v/>
      </c>
      <c r="E974" s="2" t="str">
        <f>IF(A974="","",C974*'Loan Inputs'!$B$15)</f>
        <v/>
      </c>
      <c r="F974" s="2" t="str">
        <f t="shared" si="45"/>
        <v/>
      </c>
      <c r="G974" s="2" t="str">
        <f t="shared" si="46"/>
        <v/>
      </c>
      <c r="H974" s="2" t="str">
        <f>IF(A974="","",MIN('Loan Inputs'!$B$18,MAX(0,C974+E974-'Loan Inputs'!$B$17)))</f>
        <v/>
      </c>
    </row>
    <row r="975" spans="1:8" ht="22" customHeight="1">
      <c r="A975" s="1" t="str">
        <f>IF(AND('Loan Inputs'!$B$12,969&lt;=IF('Loan Inputs'!$B$12,'Loan Inputs'!$B$7,0)*'Loan Inputs'!$B$14+5*'Loan Inputs'!$B$14,ISNUMBER(G974),G974&gt;0),969,"")</f>
        <v/>
      </c>
      <c r="B975" s="4" t="str">
        <f>IF(A975="","",IF('Loan Inputs'!$B$14=12,DATE(YEAR('Loan Inputs'!$B$8),MONTH('Loan Inputs'!$B$8)+A975,DAY('Loan Inputs'!$B$8)),'Loan Inputs'!$B$8+A975*IF('Loan Inputs'!$B$14=26,14,7)))</f>
        <v/>
      </c>
      <c r="C975" s="2" t="str">
        <f t="shared" si="47"/>
        <v/>
      </c>
      <c r="D975" s="2" t="str">
        <f>IF(A975="","",MIN('Loan Inputs'!$B$17,C975+E975)+H975)</f>
        <v/>
      </c>
      <c r="E975" s="2" t="str">
        <f>IF(A975="","",C975*'Loan Inputs'!$B$15)</f>
        <v/>
      </c>
      <c r="F975" s="2" t="str">
        <f t="shared" si="45"/>
        <v/>
      </c>
      <c r="G975" s="2" t="str">
        <f t="shared" si="46"/>
        <v/>
      </c>
      <c r="H975" s="2" t="str">
        <f>IF(A975="","",MIN('Loan Inputs'!$B$18,MAX(0,C975+E975-'Loan Inputs'!$B$17)))</f>
        <v/>
      </c>
    </row>
    <row r="976" spans="1:8" ht="22" customHeight="1">
      <c r="A976" s="1" t="str">
        <f>IF(AND('Loan Inputs'!$B$12,970&lt;=IF('Loan Inputs'!$B$12,'Loan Inputs'!$B$7,0)*'Loan Inputs'!$B$14+5*'Loan Inputs'!$B$14,ISNUMBER(G975),G975&gt;0),970,"")</f>
        <v/>
      </c>
      <c r="B976" s="4" t="str">
        <f>IF(A976="","",IF('Loan Inputs'!$B$14=12,DATE(YEAR('Loan Inputs'!$B$8),MONTH('Loan Inputs'!$B$8)+A976,DAY('Loan Inputs'!$B$8)),'Loan Inputs'!$B$8+A976*IF('Loan Inputs'!$B$14=26,14,7)))</f>
        <v/>
      </c>
      <c r="C976" s="2" t="str">
        <f t="shared" si="47"/>
        <v/>
      </c>
      <c r="D976" s="2" t="str">
        <f>IF(A976="","",MIN('Loan Inputs'!$B$17,C976+E976)+H976)</f>
        <v/>
      </c>
      <c r="E976" s="2" t="str">
        <f>IF(A976="","",C976*'Loan Inputs'!$B$15)</f>
        <v/>
      </c>
      <c r="F976" s="2" t="str">
        <f t="shared" si="45"/>
        <v/>
      </c>
      <c r="G976" s="2" t="str">
        <f t="shared" si="46"/>
        <v/>
      </c>
      <c r="H976" s="2" t="str">
        <f>IF(A976="","",MIN('Loan Inputs'!$B$18,MAX(0,C976+E976-'Loan Inputs'!$B$17)))</f>
        <v/>
      </c>
    </row>
    <row r="977" spans="1:8" ht="22" customHeight="1">
      <c r="A977" s="1" t="str">
        <f>IF(AND('Loan Inputs'!$B$12,971&lt;=IF('Loan Inputs'!$B$12,'Loan Inputs'!$B$7,0)*'Loan Inputs'!$B$14+5*'Loan Inputs'!$B$14,ISNUMBER(G976),G976&gt;0),971,"")</f>
        <v/>
      </c>
      <c r="B977" s="4" t="str">
        <f>IF(A977="","",IF('Loan Inputs'!$B$14=12,DATE(YEAR('Loan Inputs'!$B$8),MONTH('Loan Inputs'!$B$8)+A977,DAY('Loan Inputs'!$B$8)),'Loan Inputs'!$B$8+A977*IF('Loan Inputs'!$B$14=26,14,7)))</f>
        <v/>
      </c>
      <c r="C977" s="2" t="str">
        <f t="shared" si="47"/>
        <v/>
      </c>
      <c r="D977" s="2" t="str">
        <f>IF(A977="","",MIN('Loan Inputs'!$B$17,C977+E977)+H977)</f>
        <v/>
      </c>
      <c r="E977" s="2" t="str">
        <f>IF(A977="","",C977*'Loan Inputs'!$B$15)</f>
        <v/>
      </c>
      <c r="F977" s="2" t="str">
        <f t="shared" si="45"/>
        <v/>
      </c>
      <c r="G977" s="2" t="str">
        <f t="shared" si="46"/>
        <v/>
      </c>
      <c r="H977" s="2" t="str">
        <f>IF(A977="","",MIN('Loan Inputs'!$B$18,MAX(0,C977+E977-'Loan Inputs'!$B$17)))</f>
        <v/>
      </c>
    </row>
    <row r="978" spans="1:8" ht="22" customHeight="1">
      <c r="A978" s="1" t="str">
        <f>IF(AND('Loan Inputs'!$B$12,972&lt;=IF('Loan Inputs'!$B$12,'Loan Inputs'!$B$7,0)*'Loan Inputs'!$B$14+5*'Loan Inputs'!$B$14,ISNUMBER(G977),G977&gt;0),972,"")</f>
        <v/>
      </c>
      <c r="B978" s="4" t="str">
        <f>IF(A978="","",IF('Loan Inputs'!$B$14=12,DATE(YEAR('Loan Inputs'!$B$8),MONTH('Loan Inputs'!$B$8)+A978,DAY('Loan Inputs'!$B$8)),'Loan Inputs'!$B$8+A978*IF('Loan Inputs'!$B$14=26,14,7)))</f>
        <v/>
      </c>
      <c r="C978" s="2" t="str">
        <f t="shared" si="47"/>
        <v/>
      </c>
      <c r="D978" s="2" t="str">
        <f>IF(A978="","",MIN('Loan Inputs'!$B$17,C978+E978)+H978)</f>
        <v/>
      </c>
      <c r="E978" s="2" t="str">
        <f>IF(A978="","",C978*'Loan Inputs'!$B$15)</f>
        <v/>
      </c>
      <c r="F978" s="2" t="str">
        <f t="shared" si="45"/>
        <v/>
      </c>
      <c r="G978" s="2" t="str">
        <f t="shared" si="46"/>
        <v/>
      </c>
      <c r="H978" s="2" t="str">
        <f>IF(A978="","",MIN('Loan Inputs'!$B$18,MAX(0,C978+E978-'Loan Inputs'!$B$17)))</f>
        <v/>
      </c>
    </row>
    <row r="979" spans="1:8" ht="22" customHeight="1">
      <c r="A979" s="1" t="str">
        <f>IF(AND('Loan Inputs'!$B$12,973&lt;=IF('Loan Inputs'!$B$12,'Loan Inputs'!$B$7,0)*'Loan Inputs'!$B$14+5*'Loan Inputs'!$B$14,ISNUMBER(G978),G978&gt;0),973,"")</f>
        <v/>
      </c>
      <c r="B979" s="4" t="str">
        <f>IF(A979="","",IF('Loan Inputs'!$B$14=12,DATE(YEAR('Loan Inputs'!$B$8),MONTH('Loan Inputs'!$B$8)+A979,DAY('Loan Inputs'!$B$8)),'Loan Inputs'!$B$8+A979*IF('Loan Inputs'!$B$14=26,14,7)))</f>
        <v/>
      </c>
      <c r="C979" s="2" t="str">
        <f t="shared" si="47"/>
        <v/>
      </c>
      <c r="D979" s="2" t="str">
        <f>IF(A979="","",MIN('Loan Inputs'!$B$17,C979+E979)+H979)</f>
        <v/>
      </c>
      <c r="E979" s="2" t="str">
        <f>IF(A979="","",C979*'Loan Inputs'!$B$15)</f>
        <v/>
      </c>
      <c r="F979" s="2" t="str">
        <f t="shared" si="45"/>
        <v/>
      </c>
      <c r="G979" s="2" t="str">
        <f t="shared" si="46"/>
        <v/>
      </c>
      <c r="H979" s="2" t="str">
        <f>IF(A979="","",MIN('Loan Inputs'!$B$18,MAX(0,C979+E979-'Loan Inputs'!$B$17)))</f>
        <v/>
      </c>
    </row>
    <row r="980" spans="1:8" ht="22" customHeight="1">
      <c r="A980" s="1" t="str">
        <f>IF(AND('Loan Inputs'!$B$12,974&lt;=IF('Loan Inputs'!$B$12,'Loan Inputs'!$B$7,0)*'Loan Inputs'!$B$14+5*'Loan Inputs'!$B$14,ISNUMBER(G979),G979&gt;0),974,"")</f>
        <v/>
      </c>
      <c r="B980" s="4" t="str">
        <f>IF(A980="","",IF('Loan Inputs'!$B$14=12,DATE(YEAR('Loan Inputs'!$B$8),MONTH('Loan Inputs'!$B$8)+A980,DAY('Loan Inputs'!$B$8)),'Loan Inputs'!$B$8+A980*IF('Loan Inputs'!$B$14=26,14,7)))</f>
        <v/>
      </c>
      <c r="C980" s="2" t="str">
        <f t="shared" si="47"/>
        <v/>
      </c>
      <c r="D980" s="2" t="str">
        <f>IF(A980="","",MIN('Loan Inputs'!$B$17,C980+E980)+H980)</f>
        <v/>
      </c>
      <c r="E980" s="2" t="str">
        <f>IF(A980="","",C980*'Loan Inputs'!$B$15)</f>
        <v/>
      </c>
      <c r="F980" s="2" t="str">
        <f t="shared" si="45"/>
        <v/>
      </c>
      <c r="G980" s="2" t="str">
        <f t="shared" si="46"/>
        <v/>
      </c>
      <c r="H980" s="2" t="str">
        <f>IF(A980="","",MIN('Loan Inputs'!$B$18,MAX(0,C980+E980-'Loan Inputs'!$B$17)))</f>
        <v/>
      </c>
    </row>
    <row r="981" spans="1:8" ht="22" customHeight="1">
      <c r="A981" s="1" t="str">
        <f>IF(AND('Loan Inputs'!$B$12,975&lt;=IF('Loan Inputs'!$B$12,'Loan Inputs'!$B$7,0)*'Loan Inputs'!$B$14+5*'Loan Inputs'!$B$14,ISNUMBER(G980),G980&gt;0),975,"")</f>
        <v/>
      </c>
      <c r="B981" s="4" t="str">
        <f>IF(A981="","",IF('Loan Inputs'!$B$14=12,DATE(YEAR('Loan Inputs'!$B$8),MONTH('Loan Inputs'!$B$8)+A981,DAY('Loan Inputs'!$B$8)),'Loan Inputs'!$B$8+A981*IF('Loan Inputs'!$B$14=26,14,7)))</f>
        <v/>
      </c>
      <c r="C981" s="2" t="str">
        <f t="shared" si="47"/>
        <v/>
      </c>
      <c r="D981" s="2" t="str">
        <f>IF(A981="","",MIN('Loan Inputs'!$B$17,C981+E981)+H981)</f>
        <v/>
      </c>
      <c r="E981" s="2" t="str">
        <f>IF(A981="","",C981*'Loan Inputs'!$B$15)</f>
        <v/>
      </c>
      <c r="F981" s="2" t="str">
        <f t="shared" si="45"/>
        <v/>
      </c>
      <c r="G981" s="2" t="str">
        <f t="shared" si="46"/>
        <v/>
      </c>
      <c r="H981" s="2" t="str">
        <f>IF(A981="","",MIN('Loan Inputs'!$B$18,MAX(0,C981+E981-'Loan Inputs'!$B$17)))</f>
        <v/>
      </c>
    </row>
    <row r="982" spans="1:8" ht="22" customHeight="1">
      <c r="A982" s="1" t="str">
        <f>IF(AND('Loan Inputs'!$B$12,976&lt;=IF('Loan Inputs'!$B$12,'Loan Inputs'!$B$7,0)*'Loan Inputs'!$B$14+5*'Loan Inputs'!$B$14,ISNUMBER(G981),G981&gt;0),976,"")</f>
        <v/>
      </c>
      <c r="B982" s="4" t="str">
        <f>IF(A982="","",IF('Loan Inputs'!$B$14=12,DATE(YEAR('Loan Inputs'!$B$8),MONTH('Loan Inputs'!$B$8)+A982,DAY('Loan Inputs'!$B$8)),'Loan Inputs'!$B$8+A982*IF('Loan Inputs'!$B$14=26,14,7)))</f>
        <v/>
      </c>
      <c r="C982" s="2" t="str">
        <f t="shared" si="47"/>
        <v/>
      </c>
      <c r="D982" s="2" t="str">
        <f>IF(A982="","",MIN('Loan Inputs'!$B$17,C982+E982)+H982)</f>
        <v/>
      </c>
      <c r="E982" s="2" t="str">
        <f>IF(A982="","",C982*'Loan Inputs'!$B$15)</f>
        <v/>
      </c>
      <c r="F982" s="2" t="str">
        <f t="shared" si="45"/>
        <v/>
      </c>
      <c r="G982" s="2" t="str">
        <f t="shared" si="46"/>
        <v/>
      </c>
      <c r="H982" s="2" t="str">
        <f>IF(A982="","",MIN('Loan Inputs'!$B$18,MAX(0,C982+E982-'Loan Inputs'!$B$17)))</f>
        <v/>
      </c>
    </row>
    <row r="983" spans="1:8" ht="22" customHeight="1">
      <c r="A983" s="1" t="str">
        <f>IF(AND('Loan Inputs'!$B$12,977&lt;=IF('Loan Inputs'!$B$12,'Loan Inputs'!$B$7,0)*'Loan Inputs'!$B$14+5*'Loan Inputs'!$B$14,ISNUMBER(G982),G982&gt;0),977,"")</f>
        <v/>
      </c>
      <c r="B983" s="4" t="str">
        <f>IF(A983="","",IF('Loan Inputs'!$B$14=12,DATE(YEAR('Loan Inputs'!$B$8),MONTH('Loan Inputs'!$B$8)+A983,DAY('Loan Inputs'!$B$8)),'Loan Inputs'!$B$8+A983*IF('Loan Inputs'!$B$14=26,14,7)))</f>
        <v/>
      </c>
      <c r="C983" s="2" t="str">
        <f t="shared" si="47"/>
        <v/>
      </c>
      <c r="D983" s="2" t="str">
        <f>IF(A983="","",MIN('Loan Inputs'!$B$17,C983+E983)+H983)</f>
        <v/>
      </c>
      <c r="E983" s="2" t="str">
        <f>IF(A983="","",C983*'Loan Inputs'!$B$15)</f>
        <v/>
      </c>
      <c r="F983" s="2" t="str">
        <f t="shared" si="45"/>
        <v/>
      </c>
      <c r="G983" s="2" t="str">
        <f t="shared" si="46"/>
        <v/>
      </c>
      <c r="H983" s="2" t="str">
        <f>IF(A983="","",MIN('Loan Inputs'!$B$18,MAX(0,C983+E983-'Loan Inputs'!$B$17)))</f>
        <v/>
      </c>
    </row>
    <row r="984" spans="1:8" ht="22" customHeight="1">
      <c r="A984" s="1" t="str">
        <f>IF(AND('Loan Inputs'!$B$12,978&lt;=IF('Loan Inputs'!$B$12,'Loan Inputs'!$B$7,0)*'Loan Inputs'!$B$14+5*'Loan Inputs'!$B$14,ISNUMBER(G983),G983&gt;0),978,"")</f>
        <v/>
      </c>
      <c r="B984" s="4" t="str">
        <f>IF(A984="","",IF('Loan Inputs'!$B$14=12,DATE(YEAR('Loan Inputs'!$B$8),MONTH('Loan Inputs'!$B$8)+A984,DAY('Loan Inputs'!$B$8)),'Loan Inputs'!$B$8+A984*IF('Loan Inputs'!$B$14=26,14,7)))</f>
        <v/>
      </c>
      <c r="C984" s="2" t="str">
        <f t="shared" si="47"/>
        <v/>
      </c>
      <c r="D984" s="2" t="str">
        <f>IF(A984="","",MIN('Loan Inputs'!$B$17,C984+E984)+H984)</f>
        <v/>
      </c>
      <c r="E984" s="2" t="str">
        <f>IF(A984="","",C984*'Loan Inputs'!$B$15)</f>
        <v/>
      </c>
      <c r="F984" s="2" t="str">
        <f t="shared" si="45"/>
        <v/>
      </c>
      <c r="G984" s="2" t="str">
        <f t="shared" si="46"/>
        <v/>
      </c>
      <c r="H984" s="2" t="str">
        <f>IF(A984="","",MIN('Loan Inputs'!$B$18,MAX(0,C984+E984-'Loan Inputs'!$B$17)))</f>
        <v/>
      </c>
    </row>
    <row r="985" spans="1:8" ht="22" customHeight="1">
      <c r="A985" s="1" t="str">
        <f>IF(AND('Loan Inputs'!$B$12,979&lt;=IF('Loan Inputs'!$B$12,'Loan Inputs'!$B$7,0)*'Loan Inputs'!$B$14+5*'Loan Inputs'!$B$14,ISNUMBER(G984),G984&gt;0),979,"")</f>
        <v/>
      </c>
      <c r="B985" s="4" t="str">
        <f>IF(A985="","",IF('Loan Inputs'!$B$14=12,DATE(YEAR('Loan Inputs'!$B$8),MONTH('Loan Inputs'!$B$8)+A985,DAY('Loan Inputs'!$B$8)),'Loan Inputs'!$B$8+A985*IF('Loan Inputs'!$B$14=26,14,7)))</f>
        <v/>
      </c>
      <c r="C985" s="2" t="str">
        <f t="shared" si="47"/>
        <v/>
      </c>
      <c r="D985" s="2" t="str">
        <f>IF(A985="","",MIN('Loan Inputs'!$B$17,C985+E985)+H985)</f>
        <v/>
      </c>
      <c r="E985" s="2" t="str">
        <f>IF(A985="","",C985*'Loan Inputs'!$B$15)</f>
        <v/>
      </c>
      <c r="F985" s="2" t="str">
        <f t="shared" si="45"/>
        <v/>
      </c>
      <c r="G985" s="2" t="str">
        <f t="shared" si="46"/>
        <v/>
      </c>
      <c r="H985" s="2" t="str">
        <f>IF(A985="","",MIN('Loan Inputs'!$B$18,MAX(0,C985+E985-'Loan Inputs'!$B$17)))</f>
        <v/>
      </c>
    </row>
    <row r="986" spans="1:8" ht="22" customHeight="1">
      <c r="A986" s="1" t="str">
        <f>IF(AND('Loan Inputs'!$B$12,980&lt;=IF('Loan Inputs'!$B$12,'Loan Inputs'!$B$7,0)*'Loan Inputs'!$B$14+5*'Loan Inputs'!$B$14,ISNUMBER(G985),G985&gt;0),980,"")</f>
        <v/>
      </c>
      <c r="B986" s="4" t="str">
        <f>IF(A986="","",IF('Loan Inputs'!$B$14=12,DATE(YEAR('Loan Inputs'!$B$8),MONTH('Loan Inputs'!$B$8)+A986,DAY('Loan Inputs'!$B$8)),'Loan Inputs'!$B$8+A986*IF('Loan Inputs'!$B$14=26,14,7)))</f>
        <v/>
      </c>
      <c r="C986" s="2" t="str">
        <f t="shared" si="47"/>
        <v/>
      </c>
      <c r="D986" s="2" t="str">
        <f>IF(A986="","",MIN('Loan Inputs'!$B$17,C986+E986)+H986)</f>
        <v/>
      </c>
      <c r="E986" s="2" t="str">
        <f>IF(A986="","",C986*'Loan Inputs'!$B$15)</f>
        <v/>
      </c>
      <c r="F986" s="2" t="str">
        <f t="shared" si="45"/>
        <v/>
      </c>
      <c r="G986" s="2" t="str">
        <f t="shared" si="46"/>
        <v/>
      </c>
      <c r="H986" s="2" t="str">
        <f>IF(A986="","",MIN('Loan Inputs'!$B$18,MAX(0,C986+E986-'Loan Inputs'!$B$17)))</f>
        <v/>
      </c>
    </row>
    <row r="987" spans="1:8" ht="22" customHeight="1">
      <c r="A987" s="1" t="str">
        <f>IF(AND('Loan Inputs'!$B$12,981&lt;=IF('Loan Inputs'!$B$12,'Loan Inputs'!$B$7,0)*'Loan Inputs'!$B$14+5*'Loan Inputs'!$B$14,ISNUMBER(G986),G986&gt;0),981,"")</f>
        <v/>
      </c>
      <c r="B987" s="4" t="str">
        <f>IF(A987="","",IF('Loan Inputs'!$B$14=12,DATE(YEAR('Loan Inputs'!$B$8),MONTH('Loan Inputs'!$B$8)+A987,DAY('Loan Inputs'!$B$8)),'Loan Inputs'!$B$8+A987*IF('Loan Inputs'!$B$14=26,14,7)))</f>
        <v/>
      </c>
      <c r="C987" s="2" t="str">
        <f t="shared" si="47"/>
        <v/>
      </c>
      <c r="D987" s="2" t="str">
        <f>IF(A987="","",MIN('Loan Inputs'!$B$17,C987+E987)+H987)</f>
        <v/>
      </c>
      <c r="E987" s="2" t="str">
        <f>IF(A987="","",C987*'Loan Inputs'!$B$15)</f>
        <v/>
      </c>
      <c r="F987" s="2" t="str">
        <f t="shared" si="45"/>
        <v/>
      </c>
      <c r="G987" s="2" t="str">
        <f t="shared" si="46"/>
        <v/>
      </c>
      <c r="H987" s="2" t="str">
        <f>IF(A987="","",MIN('Loan Inputs'!$B$18,MAX(0,C987+E987-'Loan Inputs'!$B$17)))</f>
        <v/>
      </c>
    </row>
    <row r="988" spans="1:8" ht="22" customHeight="1">
      <c r="A988" s="1" t="str">
        <f>IF(AND('Loan Inputs'!$B$12,982&lt;=IF('Loan Inputs'!$B$12,'Loan Inputs'!$B$7,0)*'Loan Inputs'!$B$14+5*'Loan Inputs'!$B$14,ISNUMBER(G987),G987&gt;0),982,"")</f>
        <v/>
      </c>
      <c r="B988" s="4" t="str">
        <f>IF(A988="","",IF('Loan Inputs'!$B$14=12,DATE(YEAR('Loan Inputs'!$B$8),MONTH('Loan Inputs'!$B$8)+A988,DAY('Loan Inputs'!$B$8)),'Loan Inputs'!$B$8+A988*IF('Loan Inputs'!$B$14=26,14,7)))</f>
        <v/>
      </c>
      <c r="C988" s="2" t="str">
        <f t="shared" si="47"/>
        <v/>
      </c>
      <c r="D988" s="2" t="str">
        <f>IF(A988="","",MIN('Loan Inputs'!$B$17,C988+E988)+H988)</f>
        <v/>
      </c>
      <c r="E988" s="2" t="str">
        <f>IF(A988="","",C988*'Loan Inputs'!$B$15)</f>
        <v/>
      </c>
      <c r="F988" s="2" t="str">
        <f t="shared" si="45"/>
        <v/>
      </c>
      <c r="G988" s="2" t="str">
        <f t="shared" si="46"/>
        <v/>
      </c>
      <c r="H988" s="2" t="str">
        <f>IF(A988="","",MIN('Loan Inputs'!$B$18,MAX(0,C988+E988-'Loan Inputs'!$B$17)))</f>
        <v/>
      </c>
    </row>
    <row r="989" spans="1:8" ht="22" customHeight="1">
      <c r="A989" s="1" t="str">
        <f>IF(AND('Loan Inputs'!$B$12,983&lt;=IF('Loan Inputs'!$B$12,'Loan Inputs'!$B$7,0)*'Loan Inputs'!$B$14+5*'Loan Inputs'!$B$14,ISNUMBER(G988),G988&gt;0),983,"")</f>
        <v/>
      </c>
      <c r="B989" s="4" t="str">
        <f>IF(A989="","",IF('Loan Inputs'!$B$14=12,DATE(YEAR('Loan Inputs'!$B$8),MONTH('Loan Inputs'!$B$8)+A989,DAY('Loan Inputs'!$B$8)),'Loan Inputs'!$B$8+A989*IF('Loan Inputs'!$B$14=26,14,7)))</f>
        <v/>
      </c>
      <c r="C989" s="2" t="str">
        <f t="shared" si="47"/>
        <v/>
      </c>
      <c r="D989" s="2" t="str">
        <f>IF(A989="","",MIN('Loan Inputs'!$B$17,C989+E989)+H989)</f>
        <v/>
      </c>
      <c r="E989" s="2" t="str">
        <f>IF(A989="","",C989*'Loan Inputs'!$B$15)</f>
        <v/>
      </c>
      <c r="F989" s="2" t="str">
        <f t="shared" si="45"/>
        <v/>
      </c>
      <c r="G989" s="2" t="str">
        <f t="shared" si="46"/>
        <v/>
      </c>
      <c r="H989" s="2" t="str">
        <f>IF(A989="","",MIN('Loan Inputs'!$B$18,MAX(0,C989+E989-'Loan Inputs'!$B$17)))</f>
        <v/>
      </c>
    </row>
    <row r="990" spans="1:8" ht="22" customHeight="1">
      <c r="A990" s="1" t="str">
        <f>IF(AND('Loan Inputs'!$B$12,984&lt;=IF('Loan Inputs'!$B$12,'Loan Inputs'!$B$7,0)*'Loan Inputs'!$B$14+5*'Loan Inputs'!$B$14,ISNUMBER(G989),G989&gt;0),984,"")</f>
        <v/>
      </c>
      <c r="B990" s="4" t="str">
        <f>IF(A990="","",IF('Loan Inputs'!$B$14=12,DATE(YEAR('Loan Inputs'!$B$8),MONTH('Loan Inputs'!$B$8)+A990,DAY('Loan Inputs'!$B$8)),'Loan Inputs'!$B$8+A990*IF('Loan Inputs'!$B$14=26,14,7)))</f>
        <v/>
      </c>
      <c r="C990" s="2" t="str">
        <f t="shared" si="47"/>
        <v/>
      </c>
      <c r="D990" s="2" t="str">
        <f>IF(A990="","",MIN('Loan Inputs'!$B$17,C990+E990)+H990)</f>
        <v/>
      </c>
      <c r="E990" s="2" t="str">
        <f>IF(A990="","",C990*'Loan Inputs'!$B$15)</f>
        <v/>
      </c>
      <c r="F990" s="2" t="str">
        <f t="shared" si="45"/>
        <v/>
      </c>
      <c r="G990" s="2" t="str">
        <f t="shared" si="46"/>
        <v/>
      </c>
      <c r="H990" s="2" t="str">
        <f>IF(A990="","",MIN('Loan Inputs'!$B$18,MAX(0,C990+E990-'Loan Inputs'!$B$17)))</f>
        <v/>
      </c>
    </row>
    <row r="991" spans="1:8" ht="22" customHeight="1">
      <c r="A991" s="1" t="str">
        <f>IF(AND('Loan Inputs'!$B$12,985&lt;=IF('Loan Inputs'!$B$12,'Loan Inputs'!$B$7,0)*'Loan Inputs'!$B$14+5*'Loan Inputs'!$B$14,ISNUMBER(G990),G990&gt;0),985,"")</f>
        <v/>
      </c>
      <c r="B991" s="4" t="str">
        <f>IF(A991="","",IF('Loan Inputs'!$B$14=12,DATE(YEAR('Loan Inputs'!$B$8),MONTH('Loan Inputs'!$B$8)+A991,DAY('Loan Inputs'!$B$8)),'Loan Inputs'!$B$8+A991*IF('Loan Inputs'!$B$14=26,14,7)))</f>
        <v/>
      </c>
      <c r="C991" s="2" t="str">
        <f t="shared" si="47"/>
        <v/>
      </c>
      <c r="D991" s="2" t="str">
        <f>IF(A991="","",MIN('Loan Inputs'!$B$17,C991+E991)+H991)</f>
        <v/>
      </c>
      <c r="E991" s="2" t="str">
        <f>IF(A991="","",C991*'Loan Inputs'!$B$15)</f>
        <v/>
      </c>
      <c r="F991" s="2" t="str">
        <f t="shared" si="45"/>
        <v/>
      </c>
      <c r="G991" s="2" t="str">
        <f t="shared" si="46"/>
        <v/>
      </c>
      <c r="H991" s="2" t="str">
        <f>IF(A991="","",MIN('Loan Inputs'!$B$18,MAX(0,C991+E991-'Loan Inputs'!$B$17)))</f>
        <v/>
      </c>
    </row>
    <row r="992" spans="1:8" ht="22" customHeight="1">
      <c r="A992" s="1" t="str">
        <f>IF(AND('Loan Inputs'!$B$12,986&lt;=IF('Loan Inputs'!$B$12,'Loan Inputs'!$B$7,0)*'Loan Inputs'!$B$14+5*'Loan Inputs'!$B$14,ISNUMBER(G991),G991&gt;0),986,"")</f>
        <v/>
      </c>
      <c r="B992" s="4" t="str">
        <f>IF(A992="","",IF('Loan Inputs'!$B$14=12,DATE(YEAR('Loan Inputs'!$B$8),MONTH('Loan Inputs'!$B$8)+A992,DAY('Loan Inputs'!$B$8)),'Loan Inputs'!$B$8+A992*IF('Loan Inputs'!$B$14=26,14,7)))</f>
        <v/>
      </c>
      <c r="C992" s="2" t="str">
        <f t="shared" si="47"/>
        <v/>
      </c>
      <c r="D992" s="2" t="str">
        <f>IF(A992="","",MIN('Loan Inputs'!$B$17,C992+E992)+H992)</f>
        <v/>
      </c>
      <c r="E992" s="2" t="str">
        <f>IF(A992="","",C992*'Loan Inputs'!$B$15)</f>
        <v/>
      </c>
      <c r="F992" s="2" t="str">
        <f t="shared" si="45"/>
        <v/>
      </c>
      <c r="G992" s="2" t="str">
        <f t="shared" si="46"/>
        <v/>
      </c>
      <c r="H992" s="2" t="str">
        <f>IF(A992="","",MIN('Loan Inputs'!$B$18,MAX(0,C992+E992-'Loan Inputs'!$B$17)))</f>
        <v/>
      </c>
    </row>
    <row r="993" spans="1:8" ht="22" customHeight="1">
      <c r="A993" s="1" t="str">
        <f>IF(AND('Loan Inputs'!$B$12,987&lt;=IF('Loan Inputs'!$B$12,'Loan Inputs'!$B$7,0)*'Loan Inputs'!$B$14+5*'Loan Inputs'!$B$14,ISNUMBER(G992),G992&gt;0),987,"")</f>
        <v/>
      </c>
      <c r="B993" s="4" t="str">
        <f>IF(A993="","",IF('Loan Inputs'!$B$14=12,DATE(YEAR('Loan Inputs'!$B$8),MONTH('Loan Inputs'!$B$8)+A993,DAY('Loan Inputs'!$B$8)),'Loan Inputs'!$B$8+A993*IF('Loan Inputs'!$B$14=26,14,7)))</f>
        <v/>
      </c>
      <c r="C993" s="2" t="str">
        <f t="shared" si="47"/>
        <v/>
      </c>
      <c r="D993" s="2" t="str">
        <f>IF(A993="","",MIN('Loan Inputs'!$B$17,C993+E993)+H993)</f>
        <v/>
      </c>
      <c r="E993" s="2" t="str">
        <f>IF(A993="","",C993*'Loan Inputs'!$B$15)</f>
        <v/>
      </c>
      <c r="F993" s="2" t="str">
        <f t="shared" si="45"/>
        <v/>
      </c>
      <c r="G993" s="2" t="str">
        <f t="shared" si="46"/>
        <v/>
      </c>
      <c r="H993" s="2" t="str">
        <f>IF(A993="","",MIN('Loan Inputs'!$B$18,MAX(0,C993+E993-'Loan Inputs'!$B$17)))</f>
        <v/>
      </c>
    </row>
    <row r="994" spans="1:8" ht="22" customHeight="1">
      <c r="A994" s="1" t="str">
        <f>IF(AND('Loan Inputs'!$B$12,988&lt;=IF('Loan Inputs'!$B$12,'Loan Inputs'!$B$7,0)*'Loan Inputs'!$B$14+5*'Loan Inputs'!$B$14,ISNUMBER(G993),G993&gt;0),988,"")</f>
        <v/>
      </c>
      <c r="B994" s="4" t="str">
        <f>IF(A994="","",IF('Loan Inputs'!$B$14=12,DATE(YEAR('Loan Inputs'!$B$8),MONTH('Loan Inputs'!$B$8)+A994,DAY('Loan Inputs'!$B$8)),'Loan Inputs'!$B$8+A994*IF('Loan Inputs'!$B$14=26,14,7)))</f>
        <v/>
      </c>
      <c r="C994" s="2" t="str">
        <f t="shared" si="47"/>
        <v/>
      </c>
      <c r="D994" s="2" t="str">
        <f>IF(A994="","",MIN('Loan Inputs'!$B$17,C994+E994)+H994)</f>
        <v/>
      </c>
      <c r="E994" s="2" t="str">
        <f>IF(A994="","",C994*'Loan Inputs'!$B$15)</f>
        <v/>
      </c>
      <c r="F994" s="2" t="str">
        <f t="shared" si="45"/>
        <v/>
      </c>
      <c r="G994" s="2" t="str">
        <f t="shared" si="46"/>
        <v/>
      </c>
      <c r="H994" s="2" t="str">
        <f>IF(A994="","",MIN('Loan Inputs'!$B$18,MAX(0,C994+E994-'Loan Inputs'!$B$17)))</f>
        <v/>
      </c>
    </row>
    <row r="995" spans="1:8" ht="22" customHeight="1">
      <c r="A995" s="1" t="str">
        <f>IF(AND('Loan Inputs'!$B$12,989&lt;=IF('Loan Inputs'!$B$12,'Loan Inputs'!$B$7,0)*'Loan Inputs'!$B$14+5*'Loan Inputs'!$B$14,ISNUMBER(G994),G994&gt;0),989,"")</f>
        <v/>
      </c>
      <c r="B995" s="4" t="str">
        <f>IF(A995="","",IF('Loan Inputs'!$B$14=12,DATE(YEAR('Loan Inputs'!$B$8),MONTH('Loan Inputs'!$B$8)+A995,DAY('Loan Inputs'!$B$8)),'Loan Inputs'!$B$8+A995*IF('Loan Inputs'!$B$14=26,14,7)))</f>
        <v/>
      </c>
      <c r="C995" s="2" t="str">
        <f t="shared" si="47"/>
        <v/>
      </c>
      <c r="D995" s="2" t="str">
        <f>IF(A995="","",MIN('Loan Inputs'!$B$17,C995+E995)+H995)</f>
        <v/>
      </c>
      <c r="E995" s="2" t="str">
        <f>IF(A995="","",C995*'Loan Inputs'!$B$15)</f>
        <v/>
      </c>
      <c r="F995" s="2" t="str">
        <f t="shared" si="45"/>
        <v/>
      </c>
      <c r="G995" s="2" t="str">
        <f t="shared" si="46"/>
        <v/>
      </c>
      <c r="H995" s="2" t="str">
        <f>IF(A995="","",MIN('Loan Inputs'!$B$18,MAX(0,C995+E995-'Loan Inputs'!$B$17)))</f>
        <v/>
      </c>
    </row>
    <row r="996" spans="1:8" ht="22" customHeight="1">
      <c r="A996" s="1" t="str">
        <f>IF(AND('Loan Inputs'!$B$12,990&lt;=IF('Loan Inputs'!$B$12,'Loan Inputs'!$B$7,0)*'Loan Inputs'!$B$14+5*'Loan Inputs'!$B$14,ISNUMBER(G995),G995&gt;0),990,"")</f>
        <v/>
      </c>
      <c r="B996" s="4" t="str">
        <f>IF(A996="","",IF('Loan Inputs'!$B$14=12,DATE(YEAR('Loan Inputs'!$B$8),MONTH('Loan Inputs'!$B$8)+A996,DAY('Loan Inputs'!$B$8)),'Loan Inputs'!$B$8+A996*IF('Loan Inputs'!$B$14=26,14,7)))</f>
        <v/>
      </c>
      <c r="C996" s="2" t="str">
        <f t="shared" si="47"/>
        <v/>
      </c>
      <c r="D996" s="2" t="str">
        <f>IF(A996="","",MIN('Loan Inputs'!$B$17,C996+E996)+H996)</f>
        <v/>
      </c>
      <c r="E996" s="2" t="str">
        <f>IF(A996="","",C996*'Loan Inputs'!$B$15)</f>
        <v/>
      </c>
      <c r="F996" s="2" t="str">
        <f t="shared" si="45"/>
        <v/>
      </c>
      <c r="G996" s="2" t="str">
        <f t="shared" si="46"/>
        <v/>
      </c>
      <c r="H996" s="2" t="str">
        <f>IF(A996="","",MIN('Loan Inputs'!$B$18,MAX(0,C996+E996-'Loan Inputs'!$B$17)))</f>
        <v/>
      </c>
    </row>
    <row r="997" spans="1:8" ht="22" customHeight="1">
      <c r="A997" s="1" t="str">
        <f>IF(AND('Loan Inputs'!$B$12,991&lt;=IF('Loan Inputs'!$B$12,'Loan Inputs'!$B$7,0)*'Loan Inputs'!$B$14+5*'Loan Inputs'!$B$14,ISNUMBER(G996),G996&gt;0),991,"")</f>
        <v/>
      </c>
      <c r="B997" s="4" t="str">
        <f>IF(A997="","",IF('Loan Inputs'!$B$14=12,DATE(YEAR('Loan Inputs'!$B$8),MONTH('Loan Inputs'!$B$8)+A997,DAY('Loan Inputs'!$B$8)),'Loan Inputs'!$B$8+A997*IF('Loan Inputs'!$B$14=26,14,7)))</f>
        <v/>
      </c>
      <c r="C997" s="2" t="str">
        <f t="shared" si="47"/>
        <v/>
      </c>
      <c r="D997" s="2" t="str">
        <f>IF(A997="","",MIN('Loan Inputs'!$B$17,C997+E997)+H997)</f>
        <v/>
      </c>
      <c r="E997" s="2" t="str">
        <f>IF(A997="","",C997*'Loan Inputs'!$B$15)</f>
        <v/>
      </c>
      <c r="F997" s="2" t="str">
        <f t="shared" si="45"/>
        <v/>
      </c>
      <c r="G997" s="2" t="str">
        <f t="shared" si="46"/>
        <v/>
      </c>
      <c r="H997" s="2" t="str">
        <f>IF(A997="","",MIN('Loan Inputs'!$B$18,MAX(0,C997+E997-'Loan Inputs'!$B$17)))</f>
        <v/>
      </c>
    </row>
    <row r="998" spans="1:8" ht="22" customHeight="1">
      <c r="A998" s="1" t="str">
        <f>IF(AND('Loan Inputs'!$B$12,992&lt;=IF('Loan Inputs'!$B$12,'Loan Inputs'!$B$7,0)*'Loan Inputs'!$B$14+5*'Loan Inputs'!$B$14,ISNUMBER(G997),G997&gt;0),992,"")</f>
        <v/>
      </c>
      <c r="B998" s="4" t="str">
        <f>IF(A998="","",IF('Loan Inputs'!$B$14=12,DATE(YEAR('Loan Inputs'!$B$8),MONTH('Loan Inputs'!$B$8)+A998,DAY('Loan Inputs'!$B$8)),'Loan Inputs'!$B$8+A998*IF('Loan Inputs'!$B$14=26,14,7)))</f>
        <v/>
      </c>
      <c r="C998" s="2" t="str">
        <f t="shared" si="47"/>
        <v/>
      </c>
      <c r="D998" s="2" t="str">
        <f>IF(A998="","",MIN('Loan Inputs'!$B$17,C998+E998)+H998)</f>
        <v/>
      </c>
      <c r="E998" s="2" t="str">
        <f>IF(A998="","",C998*'Loan Inputs'!$B$15)</f>
        <v/>
      </c>
      <c r="F998" s="2" t="str">
        <f t="shared" si="45"/>
        <v/>
      </c>
      <c r="G998" s="2" t="str">
        <f t="shared" si="46"/>
        <v/>
      </c>
      <c r="H998" s="2" t="str">
        <f>IF(A998="","",MIN('Loan Inputs'!$B$18,MAX(0,C998+E998-'Loan Inputs'!$B$17)))</f>
        <v/>
      </c>
    </row>
    <row r="999" spans="1:8" ht="22" customHeight="1">
      <c r="A999" s="1" t="str">
        <f>IF(AND('Loan Inputs'!$B$12,993&lt;=IF('Loan Inputs'!$B$12,'Loan Inputs'!$B$7,0)*'Loan Inputs'!$B$14+5*'Loan Inputs'!$B$14,ISNUMBER(G998),G998&gt;0),993,"")</f>
        <v/>
      </c>
      <c r="B999" s="4" t="str">
        <f>IF(A999="","",IF('Loan Inputs'!$B$14=12,DATE(YEAR('Loan Inputs'!$B$8),MONTH('Loan Inputs'!$B$8)+A999,DAY('Loan Inputs'!$B$8)),'Loan Inputs'!$B$8+A999*IF('Loan Inputs'!$B$14=26,14,7)))</f>
        <v/>
      </c>
      <c r="C999" s="2" t="str">
        <f t="shared" si="47"/>
        <v/>
      </c>
      <c r="D999" s="2" t="str">
        <f>IF(A999="","",MIN('Loan Inputs'!$B$17,C999+E999)+H999)</f>
        <v/>
      </c>
      <c r="E999" s="2" t="str">
        <f>IF(A999="","",C999*'Loan Inputs'!$B$15)</f>
        <v/>
      </c>
      <c r="F999" s="2" t="str">
        <f t="shared" si="45"/>
        <v/>
      </c>
      <c r="G999" s="2" t="str">
        <f t="shared" si="46"/>
        <v/>
      </c>
      <c r="H999" s="2" t="str">
        <f>IF(A999="","",MIN('Loan Inputs'!$B$18,MAX(0,C999+E999-'Loan Inputs'!$B$17)))</f>
        <v/>
      </c>
    </row>
    <row r="1000" spans="1:8" ht="22" customHeight="1">
      <c r="A1000" s="1" t="str">
        <f>IF(AND('Loan Inputs'!$B$12,994&lt;=IF('Loan Inputs'!$B$12,'Loan Inputs'!$B$7,0)*'Loan Inputs'!$B$14+5*'Loan Inputs'!$B$14,ISNUMBER(G999),G999&gt;0),994,"")</f>
        <v/>
      </c>
      <c r="B1000" s="4" t="str">
        <f>IF(A1000="","",IF('Loan Inputs'!$B$14=12,DATE(YEAR('Loan Inputs'!$B$8),MONTH('Loan Inputs'!$B$8)+A1000,DAY('Loan Inputs'!$B$8)),'Loan Inputs'!$B$8+A1000*IF('Loan Inputs'!$B$14=26,14,7)))</f>
        <v/>
      </c>
      <c r="C1000" s="2" t="str">
        <f t="shared" si="47"/>
        <v/>
      </c>
      <c r="D1000" s="2" t="str">
        <f>IF(A1000="","",MIN('Loan Inputs'!$B$17,C1000+E1000)+H1000)</f>
        <v/>
      </c>
      <c r="E1000" s="2" t="str">
        <f>IF(A1000="","",C1000*'Loan Inputs'!$B$15)</f>
        <v/>
      </c>
      <c r="F1000" s="2" t="str">
        <f t="shared" si="45"/>
        <v/>
      </c>
      <c r="G1000" s="2" t="str">
        <f t="shared" si="46"/>
        <v/>
      </c>
      <c r="H1000" s="2" t="str">
        <f>IF(A1000="","",MIN('Loan Inputs'!$B$18,MAX(0,C1000+E1000-'Loan Inputs'!$B$17)))</f>
        <v/>
      </c>
    </row>
    <row r="1001" spans="1:8" ht="22" customHeight="1">
      <c r="A1001" s="1" t="str">
        <f>IF(AND('Loan Inputs'!$B$12,995&lt;=IF('Loan Inputs'!$B$12,'Loan Inputs'!$B$7,0)*'Loan Inputs'!$B$14+5*'Loan Inputs'!$B$14,ISNUMBER(G1000),G1000&gt;0),995,"")</f>
        <v/>
      </c>
      <c r="B1001" s="4" t="str">
        <f>IF(A1001="","",IF('Loan Inputs'!$B$14=12,DATE(YEAR('Loan Inputs'!$B$8),MONTH('Loan Inputs'!$B$8)+A1001,DAY('Loan Inputs'!$B$8)),'Loan Inputs'!$B$8+A1001*IF('Loan Inputs'!$B$14=26,14,7)))</f>
        <v/>
      </c>
      <c r="C1001" s="2" t="str">
        <f t="shared" si="47"/>
        <v/>
      </c>
      <c r="D1001" s="2" t="str">
        <f>IF(A1001="","",MIN('Loan Inputs'!$B$17,C1001+E1001)+H1001)</f>
        <v/>
      </c>
      <c r="E1001" s="2" t="str">
        <f>IF(A1001="","",C1001*'Loan Inputs'!$B$15)</f>
        <v/>
      </c>
      <c r="F1001" s="2" t="str">
        <f t="shared" si="45"/>
        <v/>
      </c>
      <c r="G1001" s="2" t="str">
        <f t="shared" si="46"/>
        <v/>
      </c>
      <c r="H1001" s="2" t="str">
        <f>IF(A1001="","",MIN('Loan Inputs'!$B$18,MAX(0,C1001+E1001-'Loan Inputs'!$B$17)))</f>
        <v/>
      </c>
    </row>
    <row r="1002" spans="1:8" ht="22" customHeight="1">
      <c r="A1002" s="1" t="str">
        <f>IF(AND('Loan Inputs'!$B$12,996&lt;=IF('Loan Inputs'!$B$12,'Loan Inputs'!$B$7,0)*'Loan Inputs'!$B$14+5*'Loan Inputs'!$B$14,ISNUMBER(G1001),G1001&gt;0),996,"")</f>
        <v/>
      </c>
      <c r="B1002" s="4" t="str">
        <f>IF(A1002="","",IF('Loan Inputs'!$B$14=12,DATE(YEAR('Loan Inputs'!$B$8),MONTH('Loan Inputs'!$B$8)+A1002,DAY('Loan Inputs'!$B$8)),'Loan Inputs'!$B$8+A1002*IF('Loan Inputs'!$B$14=26,14,7)))</f>
        <v/>
      </c>
      <c r="C1002" s="2" t="str">
        <f t="shared" si="47"/>
        <v/>
      </c>
      <c r="D1002" s="2" t="str">
        <f>IF(A1002="","",MIN('Loan Inputs'!$B$17,C1002+E1002)+H1002)</f>
        <v/>
      </c>
      <c r="E1002" s="2" t="str">
        <f>IF(A1002="","",C1002*'Loan Inputs'!$B$15)</f>
        <v/>
      </c>
      <c r="F1002" s="2" t="str">
        <f t="shared" si="45"/>
        <v/>
      </c>
      <c r="G1002" s="2" t="str">
        <f t="shared" si="46"/>
        <v/>
      </c>
      <c r="H1002" s="2" t="str">
        <f>IF(A1002="","",MIN('Loan Inputs'!$B$18,MAX(0,C1002+E1002-'Loan Inputs'!$B$17)))</f>
        <v/>
      </c>
    </row>
    <row r="1003" spans="1:8" ht="22" customHeight="1">
      <c r="A1003" s="1" t="str">
        <f>IF(AND('Loan Inputs'!$B$12,997&lt;=IF('Loan Inputs'!$B$12,'Loan Inputs'!$B$7,0)*'Loan Inputs'!$B$14+5*'Loan Inputs'!$B$14,ISNUMBER(G1002),G1002&gt;0),997,"")</f>
        <v/>
      </c>
      <c r="B1003" s="4" t="str">
        <f>IF(A1003="","",IF('Loan Inputs'!$B$14=12,DATE(YEAR('Loan Inputs'!$B$8),MONTH('Loan Inputs'!$B$8)+A1003,DAY('Loan Inputs'!$B$8)),'Loan Inputs'!$B$8+A1003*IF('Loan Inputs'!$B$14=26,14,7)))</f>
        <v/>
      </c>
      <c r="C1003" s="2" t="str">
        <f t="shared" si="47"/>
        <v/>
      </c>
      <c r="D1003" s="2" t="str">
        <f>IF(A1003="","",MIN('Loan Inputs'!$B$17,C1003+E1003)+H1003)</f>
        <v/>
      </c>
      <c r="E1003" s="2" t="str">
        <f>IF(A1003="","",C1003*'Loan Inputs'!$B$15)</f>
        <v/>
      </c>
      <c r="F1003" s="2" t="str">
        <f t="shared" si="45"/>
        <v/>
      </c>
      <c r="G1003" s="2" t="str">
        <f t="shared" si="46"/>
        <v/>
      </c>
      <c r="H1003" s="2" t="str">
        <f>IF(A1003="","",MIN('Loan Inputs'!$B$18,MAX(0,C1003+E1003-'Loan Inputs'!$B$17)))</f>
        <v/>
      </c>
    </row>
    <row r="1004" spans="1:8" ht="22" customHeight="1">
      <c r="A1004" s="1" t="str">
        <f>IF(AND('Loan Inputs'!$B$12,998&lt;=IF('Loan Inputs'!$B$12,'Loan Inputs'!$B$7,0)*'Loan Inputs'!$B$14+5*'Loan Inputs'!$B$14,ISNUMBER(G1003),G1003&gt;0),998,"")</f>
        <v/>
      </c>
      <c r="B1004" s="4" t="str">
        <f>IF(A1004="","",IF('Loan Inputs'!$B$14=12,DATE(YEAR('Loan Inputs'!$B$8),MONTH('Loan Inputs'!$B$8)+A1004,DAY('Loan Inputs'!$B$8)),'Loan Inputs'!$B$8+A1004*IF('Loan Inputs'!$B$14=26,14,7)))</f>
        <v/>
      </c>
      <c r="C1004" s="2" t="str">
        <f t="shared" si="47"/>
        <v/>
      </c>
      <c r="D1004" s="2" t="str">
        <f>IF(A1004="","",MIN('Loan Inputs'!$B$17,C1004+E1004)+H1004)</f>
        <v/>
      </c>
      <c r="E1004" s="2" t="str">
        <f>IF(A1004="","",C1004*'Loan Inputs'!$B$15)</f>
        <v/>
      </c>
      <c r="F1004" s="2" t="str">
        <f t="shared" si="45"/>
        <v/>
      </c>
      <c r="G1004" s="2" t="str">
        <f t="shared" si="46"/>
        <v/>
      </c>
      <c r="H1004" s="2" t="str">
        <f>IF(A1004="","",MIN('Loan Inputs'!$B$18,MAX(0,C1004+E1004-'Loan Inputs'!$B$17)))</f>
        <v/>
      </c>
    </row>
    <row r="1005" spans="1:8" ht="22" customHeight="1">
      <c r="A1005" s="1" t="str">
        <f>IF(AND('Loan Inputs'!$B$12,999&lt;=IF('Loan Inputs'!$B$12,'Loan Inputs'!$B$7,0)*'Loan Inputs'!$B$14+5*'Loan Inputs'!$B$14,ISNUMBER(G1004),G1004&gt;0),999,"")</f>
        <v/>
      </c>
      <c r="B1005" s="4" t="str">
        <f>IF(A1005="","",IF('Loan Inputs'!$B$14=12,DATE(YEAR('Loan Inputs'!$B$8),MONTH('Loan Inputs'!$B$8)+A1005,DAY('Loan Inputs'!$B$8)),'Loan Inputs'!$B$8+A1005*IF('Loan Inputs'!$B$14=26,14,7)))</f>
        <v/>
      </c>
      <c r="C1005" s="2" t="str">
        <f t="shared" si="47"/>
        <v/>
      </c>
      <c r="D1005" s="2" t="str">
        <f>IF(A1005="","",MIN('Loan Inputs'!$B$17,C1005+E1005)+H1005)</f>
        <v/>
      </c>
      <c r="E1005" s="2" t="str">
        <f>IF(A1005="","",C1005*'Loan Inputs'!$B$15)</f>
        <v/>
      </c>
      <c r="F1005" s="2" t="str">
        <f t="shared" si="45"/>
        <v/>
      </c>
      <c r="G1005" s="2" t="str">
        <f t="shared" si="46"/>
        <v/>
      </c>
      <c r="H1005" s="2" t="str">
        <f>IF(A1005="","",MIN('Loan Inputs'!$B$18,MAX(0,C1005+E1005-'Loan Inputs'!$B$17)))</f>
        <v/>
      </c>
    </row>
    <row r="1006" spans="1:8" ht="22" customHeight="1">
      <c r="A1006" s="1" t="str">
        <f>IF(AND('Loan Inputs'!$B$12,1000&lt;=IF('Loan Inputs'!$B$12,'Loan Inputs'!$B$7,0)*'Loan Inputs'!$B$14+5*'Loan Inputs'!$B$14,ISNUMBER(G1005),G1005&gt;0),1000,"")</f>
        <v/>
      </c>
      <c r="B1006" s="4" t="str">
        <f>IF(A1006="","",IF('Loan Inputs'!$B$14=12,DATE(YEAR('Loan Inputs'!$B$8),MONTH('Loan Inputs'!$B$8)+A1006,DAY('Loan Inputs'!$B$8)),'Loan Inputs'!$B$8+A1006*IF('Loan Inputs'!$B$14=26,14,7)))</f>
        <v/>
      </c>
      <c r="C1006" s="2" t="str">
        <f t="shared" si="47"/>
        <v/>
      </c>
      <c r="D1006" s="2" t="str">
        <f>IF(A1006="","",MIN('Loan Inputs'!$B$17,C1006+E1006)+H1006)</f>
        <v/>
      </c>
      <c r="E1006" s="2" t="str">
        <f>IF(A1006="","",C1006*'Loan Inputs'!$B$15)</f>
        <v/>
      </c>
      <c r="F1006" s="2" t="str">
        <f t="shared" si="45"/>
        <v/>
      </c>
      <c r="G1006" s="2" t="str">
        <f t="shared" si="46"/>
        <v/>
      </c>
      <c r="H1006" s="2" t="str">
        <f>IF(A1006="","",MIN('Loan Inputs'!$B$18,MAX(0,C1006+E1006-'Loan Inputs'!$B$17)))</f>
        <v/>
      </c>
    </row>
    <row r="1007" spans="1:8" ht="22" customHeight="1">
      <c r="A1007" s="1" t="str">
        <f>IF(AND('Loan Inputs'!$B$12,1001&lt;=IF('Loan Inputs'!$B$12,'Loan Inputs'!$B$7,0)*'Loan Inputs'!$B$14+5*'Loan Inputs'!$B$14,ISNUMBER(G1006),G1006&gt;0),1001,"")</f>
        <v/>
      </c>
      <c r="B1007" s="4" t="str">
        <f>IF(A1007="","",IF('Loan Inputs'!$B$14=12,DATE(YEAR('Loan Inputs'!$B$8),MONTH('Loan Inputs'!$B$8)+A1007,DAY('Loan Inputs'!$B$8)),'Loan Inputs'!$B$8+A1007*IF('Loan Inputs'!$B$14=26,14,7)))</f>
        <v/>
      </c>
      <c r="C1007" s="2" t="str">
        <f t="shared" si="47"/>
        <v/>
      </c>
      <c r="D1007" s="2" t="str">
        <f>IF(A1007="","",MIN('Loan Inputs'!$B$17,C1007+E1007)+H1007)</f>
        <v/>
      </c>
      <c r="E1007" s="2" t="str">
        <f>IF(A1007="","",C1007*'Loan Inputs'!$B$15)</f>
        <v/>
      </c>
      <c r="F1007" s="2" t="str">
        <f t="shared" si="45"/>
        <v/>
      </c>
      <c r="G1007" s="2" t="str">
        <f t="shared" si="46"/>
        <v/>
      </c>
      <c r="H1007" s="2" t="str">
        <f>IF(A1007="","",MIN('Loan Inputs'!$B$18,MAX(0,C1007+E1007-'Loan Inputs'!$B$17)))</f>
        <v/>
      </c>
    </row>
    <row r="1008" spans="1:8" ht="22" customHeight="1">
      <c r="A1008" s="1" t="str">
        <f>IF(AND('Loan Inputs'!$B$12,1002&lt;=IF('Loan Inputs'!$B$12,'Loan Inputs'!$B$7,0)*'Loan Inputs'!$B$14+5*'Loan Inputs'!$B$14,ISNUMBER(G1007),G1007&gt;0),1002,"")</f>
        <v/>
      </c>
      <c r="B1008" s="4" t="str">
        <f>IF(A1008="","",IF('Loan Inputs'!$B$14=12,DATE(YEAR('Loan Inputs'!$B$8),MONTH('Loan Inputs'!$B$8)+A1008,DAY('Loan Inputs'!$B$8)),'Loan Inputs'!$B$8+A1008*IF('Loan Inputs'!$B$14=26,14,7)))</f>
        <v/>
      </c>
      <c r="C1008" s="2" t="str">
        <f t="shared" si="47"/>
        <v/>
      </c>
      <c r="D1008" s="2" t="str">
        <f>IF(A1008="","",MIN('Loan Inputs'!$B$17,C1008+E1008)+H1008)</f>
        <v/>
      </c>
      <c r="E1008" s="2" t="str">
        <f>IF(A1008="","",C1008*'Loan Inputs'!$B$15)</f>
        <v/>
      </c>
      <c r="F1008" s="2" t="str">
        <f t="shared" si="45"/>
        <v/>
      </c>
      <c r="G1008" s="2" t="str">
        <f t="shared" si="46"/>
        <v/>
      </c>
      <c r="H1008" s="2" t="str">
        <f>IF(A1008="","",MIN('Loan Inputs'!$B$18,MAX(0,C1008+E1008-'Loan Inputs'!$B$17)))</f>
        <v/>
      </c>
    </row>
    <row r="1009" spans="1:8" ht="22" customHeight="1">
      <c r="A1009" s="1" t="str">
        <f>IF(AND('Loan Inputs'!$B$12,1003&lt;=IF('Loan Inputs'!$B$12,'Loan Inputs'!$B$7,0)*'Loan Inputs'!$B$14+5*'Loan Inputs'!$B$14,ISNUMBER(G1008),G1008&gt;0),1003,"")</f>
        <v/>
      </c>
      <c r="B1009" s="4" t="str">
        <f>IF(A1009="","",IF('Loan Inputs'!$B$14=12,DATE(YEAR('Loan Inputs'!$B$8),MONTH('Loan Inputs'!$B$8)+A1009,DAY('Loan Inputs'!$B$8)),'Loan Inputs'!$B$8+A1009*IF('Loan Inputs'!$B$14=26,14,7)))</f>
        <v/>
      </c>
      <c r="C1009" s="2" t="str">
        <f t="shared" si="47"/>
        <v/>
      </c>
      <c r="D1009" s="2" t="str">
        <f>IF(A1009="","",MIN('Loan Inputs'!$B$17,C1009+E1009)+H1009)</f>
        <v/>
      </c>
      <c r="E1009" s="2" t="str">
        <f>IF(A1009="","",C1009*'Loan Inputs'!$B$15)</f>
        <v/>
      </c>
      <c r="F1009" s="2" t="str">
        <f t="shared" si="45"/>
        <v/>
      </c>
      <c r="G1009" s="2" t="str">
        <f t="shared" si="46"/>
        <v/>
      </c>
      <c r="H1009" s="2" t="str">
        <f>IF(A1009="","",MIN('Loan Inputs'!$B$18,MAX(0,C1009+E1009-'Loan Inputs'!$B$17)))</f>
        <v/>
      </c>
    </row>
    <row r="1010" spans="1:8" ht="22" customHeight="1">
      <c r="A1010" s="1" t="str">
        <f>IF(AND('Loan Inputs'!$B$12,1004&lt;=IF('Loan Inputs'!$B$12,'Loan Inputs'!$B$7,0)*'Loan Inputs'!$B$14+5*'Loan Inputs'!$B$14,ISNUMBER(G1009),G1009&gt;0),1004,"")</f>
        <v/>
      </c>
      <c r="B1010" s="4" t="str">
        <f>IF(A1010="","",IF('Loan Inputs'!$B$14=12,DATE(YEAR('Loan Inputs'!$B$8),MONTH('Loan Inputs'!$B$8)+A1010,DAY('Loan Inputs'!$B$8)),'Loan Inputs'!$B$8+A1010*IF('Loan Inputs'!$B$14=26,14,7)))</f>
        <v/>
      </c>
      <c r="C1010" s="2" t="str">
        <f t="shared" si="47"/>
        <v/>
      </c>
      <c r="D1010" s="2" t="str">
        <f>IF(A1010="","",MIN('Loan Inputs'!$B$17,C1010+E1010)+H1010)</f>
        <v/>
      </c>
      <c r="E1010" s="2" t="str">
        <f>IF(A1010="","",C1010*'Loan Inputs'!$B$15)</f>
        <v/>
      </c>
      <c r="F1010" s="2" t="str">
        <f t="shared" si="45"/>
        <v/>
      </c>
      <c r="G1010" s="2" t="str">
        <f t="shared" si="46"/>
        <v/>
      </c>
      <c r="H1010" s="2" t="str">
        <f>IF(A1010="","",MIN('Loan Inputs'!$B$18,MAX(0,C1010+E1010-'Loan Inputs'!$B$17)))</f>
        <v/>
      </c>
    </row>
    <row r="1011" spans="1:8" ht="22" customHeight="1">
      <c r="A1011" s="1" t="str">
        <f>IF(AND('Loan Inputs'!$B$12,1005&lt;=IF('Loan Inputs'!$B$12,'Loan Inputs'!$B$7,0)*'Loan Inputs'!$B$14+5*'Loan Inputs'!$B$14,ISNUMBER(G1010),G1010&gt;0),1005,"")</f>
        <v/>
      </c>
      <c r="B1011" s="4" t="str">
        <f>IF(A1011="","",IF('Loan Inputs'!$B$14=12,DATE(YEAR('Loan Inputs'!$B$8),MONTH('Loan Inputs'!$B$8)+A1011,DAY('Loan Inputs'!$B$8)),'Loan Inputs'!$B$8+A1011*IF('Loan Inputs'!$B$14=26,14,7)))</f>
        <v/>
      </c>
      <c r="C1011" s="2" t="str">
        <f t="shared" si="47"/>
        <v/>
      </c>
      <c r="D1011" s="2" t="str">
        <f>IF(A1011="","",MIN('Loan Inputs'!$B$17,C1011+E1011)+H1011)</f>
        <v/>
      </c>
      <c r="E1011" s="2" t="str">
        <f>IF(A1011="","",C1011*'Loan Inputs'!$B$15)</f>
        <v/>
      </c>
      <c r="F1011" s="2" t="str">
        <f t="shared" si="45"/>
        <v/>
      </c>
      <c r="G1011" s="2" t="str">
        <f t="shared" si="46"/>
        <v/>
      </c>
      <c r="H1011" s="2" t="str">
        <f>IF(A1011="","",MIN('Loan Inputs'!$B$18,MAX(0,C1011+E1011-'Loan Inputs'!$B$17)))</f>
        <v/>
      </c>
    </row>
    <row r="1012" spans="1:8" ht="22" customHeight="1">
      <c r="A1012" s="1" t="str">
        <f>IF(AND('Loan Inputs'!$B$12,1006&lt;=IF('Loan Inputs'!$B$12,'Loan Inputs'!$B$7,0)*'Loan Inputs'!$B$14+5*'Loan Inputs'!$B$14,ISNUMBER(G1011),G1011&gt;0),1006,"")</f>
        <v/>
      </c>
      <c r="B1012" s="4" t="str">
        <f>IF(A1012="","",IF('Loan Inputs'!$B$14=12,DATE(YEAR('Loan Inputs'!$B$8),MONTH('Loan Inputs'!$B$8)+A1012,DAY('Loan Inputs'!$B$8)),'Loan Inputs'!$B$8+A1012*IF('Loan Inputs'!$B$14=26,14,7)))</f>
        <v/>
      </c>
      <c r="C1012" s="2" t="str">
        <f t="shared" si="47"/>
        <v/>
      </c>
      <c r="D1012" s="2" t="str">
        <f>IF(A1012="","",MIN('Loan Inputs'!$B$17,C1012+E1012)+H1012)</f>
        <v/>
      </c>
      <c r="E1012" s="2" t="str">
        <f>IF(A1012="","",C1012*'Loan Inputs'!$B$15)</f>
        <v/>
      </c>
      <c r="F1012" s="2" t="str">
        <f t="shared" si="45"/>
        <v/>
      </c>
      <c r="G1012" s="2" t="str">
        <f t="shared" si="46"/>
        <v/>
      </c>
      <c r="H1012" s="2" t="str">
        <f>IF(A1012="","",MIN('Loan Inputs'!$B$18,MAX(0,C1012+E1012-'Loan Inputs'!$B$17)))</f>
        <v/>
      </c>
    </row>
    <row r="1013" spans="1:8" ht="22" customHeight="1">
      <c r="A1013" s="1" t="str">
        <f>IF(AND('Loan Inputs'!$B$12,1007&lt;=IF('Loan Inputs'!$B$12,'Loan Inputs'!$B$7,0)*'Loan Inputs'!$B$14+5*'Loan Inputs'!$B$14,ISNUMBER(G1012),G1012&gt;0),1007,"")</f>
        <v/>
      </c>
      <c r="B1013" s="4" t="str">
        <f>IF(A1013="","",IF('Loan Inputs'!$B$14=12,DATE(YEAR('Loan Inputs'!$B$8),MONTH('Loan Inputs'!$B$8)+A1013,DAY('Loan Inputs'!$B$8)),'Loan Inputs'!$B$8+A1013*IF('Loan Inputs'!$B$14=26,14,7)))</f>
        <v/>
      </c>
      <c r="C1013" s="2" t="str">
        <f t="shared" si="47"/>
        <v/>
      </c>
      <c r="D1013" s="2" t="str">
        <f>IF(A1013="","",MIN('Loan Inputs'!$B$17,C1013+E1013)+H1013)</f>
        <v/>
      </c>
      <c r="E1013" s="2" t="str">
        <f>IF(A1013="","",C1013*'Loan Inputs'!$B$15)</f>
        <v/>
      </c>
      <c r="F1013" s="2" t="str">
        <f t="shared" si="45"/>
        <v/>
      </c>
      <c r="G1013" s="2" t="str">
        <f t="shared" si="46"/>
        <v/>
      </c>
      <c r="H1013" s="2" t="str">
        <f>IF(A1013="","",MIN('Loan Inputs'!$B$18,MAX(0,C1013+E1013-'Loan Inputs'!$B$17)))</f>
        <v/>
      </c>
    </row>
    <row r="1014" spans="1:8" ht="22" customHeight="1">
      <c r="A1014" s="1" t="str">
        <f>IF(AND('Loan Inputs'!$B$12,1008&lt;=IF('Loan Inputs'!$B$12,'Loan Inputs'!$B$7,0)*'Loan Inputs'!$B$14+5*'Loan Inputs'!$B$14,ISNUMBER(G1013),G1013&gt;0),1008,"")</f>
        <v/>
      </c>
      <c r="B1014" s="4" t="str">
        <f>IF(A1014="","",IF('Loan Inputs'!$B$14=12,DATE(YEAR('Loan Inputs'!$B$8),MONTH('Loan Inputs'!$B$8)+A1014,DAY('Loan Inputs'!$B$8)),'Loan Inputs'!$B$8+A1014*IF('Loan Inputs'!$B$14=26,14,7)))</f>
        <v/>
      </c>
      <c r="C1014" s="2" t="str">
        <f t="shared" si="47"/>
        <v/>
      </c>
      <c r="D1014" s="2" t="str">
        <f>IF(A1014="","",MIN('Loan Inputs'!$B$17,C1014+E1014)+H1014)</f>
        <v/>
      </c>
      <c r="E1014" s="2" t="str">
        <f>IF(A1014="","",C1014*'Loan Inputs'!$B$15)</f>
        <v/>
      </c>
      <c r="F1014" s="2" t="str">
        <f t="shared" si="45"/>
        <v/>
      </c>
      <c r="G1014" s="2" t="str">
        <f t="shared" si="46"/>
        <v/>
      </c>
      <c r="H1014" s="2" t="str">
        <f>IF(A1014="","",MIN('Loan Inputs'!$B$18,MAX(0,C1014+E1014-'Loan Inputs'!$B$17)))</f>
        <v/>
      </c>
    </row>
    <row r="1015" spans="1:8" ht="22" customHeight="1">
      <c r="A1015" s="1" t="str">
        <f>IF(AND('Loan Inputs'!$B$12,1009&lt;=IF('Loan Inputs'!$B$12,'Loan Inputs'!$B$7,0)*'Loan Inputs'!$B$14+5*'Loan Inputs'!$B$14,ISNUMBER(G1014),G1014&gt;0),1009,"")</f>
        <v/>
      </c>
      <c r="B1015" s="4" t="str">
        <f>IF(A1015="","",IF('Loan Inputs'!$B$14=12,DATE(YEAR('Loan Inputs'!$B$8),MONTH('Loan Inputs'!$B$8)+A1015,DAY('Loan Inputs'!$B$8)),'Loan Inputs'!$B$8+A1015*IF('Loan Inputs'!$B$14=26,14,7)))</f>
        <v/>
      </c>
      <c r="C1015" s="2" t="str">
        <f t="shared" si="47"/>
        <v/>
      </c>
      <c r="D1015" s="2" t="str">
        <f>IF(A1015="","",MIN('Loan Inputs'!$B$17,C1015+E1015)+H1015)</f>
        <v/>
      </c>
      <c r="E1015" s="2" t="str">
        <f>IF(A1015="","",C1015*'Loan Inputs'!$B$15)</f>
        <v/>
      </c>
      <c r="F1015" s="2" t="str">
        <f t="shared" si="45"/>
        <v/>
      </c>
      <c r="G1015" s="2" t="str">
        <f t="shared" si="46"/>
        <v/>
      </c>
      <c r="H1015" s="2" t="str">
        <f>IF(A1015="","",MIN('Loan Inputs'!$B$18,MAX(0,C1015+E1015-'Loan Inputs'!$B$17)))</f>
        <v/>
      </c>
    </row>
    <row r="1016" spans="1:8" ht="22" customHeight="1">
      <c r="A1016" s="1" t="str">
        <f>IF(AND('Loan Inputs'!$B$12,1010&lt;=IF('Loan Inputs'!$B$12,'Loan Inputs'!$B$7,0)*'Loan Inputs'!$B$14+5*'Loan Inputs'!$B$14,ISNUMBER(G1015),G1015&gt;0),1010,"")</f>
        <v/>
      </c>
      <c r="B1016" s="4" t="str">
        <f>IF(A1016="","",IF('Loan Inputs'!$B$14=12,DATE(YEAR('Loan Inputs'!$B$8),MONTH('Loan Inputs'!$B$8)+A1016,DAY('Loan Inputs'!$B$8)),'Loan Inputs'!$B$8+A1016*IF('Loan Inputs'!$B$14=26,14,7)))</f>
        <v/>
      </c>
      <c r="C1016" s="2" t="str">
        <f t="shared" si="47"/>
        <v/>
      </c>
      <c r="D1016" s="2" t="str">
        <f>IF(A1016="","",MIN('Loan Inputs'!$B$17,C1016+E1016)+H1016)</f>
        <v/>
      </c>
      <c r="E1016" s="2" t="str">
        <f>IF(A1016="","",C1016*'Loan Inputs'!$B$15)</f>
        <v/>
      </c>
      <c r="F1016" s="2" t="str">
        <f t="shared" si="45"/>
        <v/>
      </c>
      <c r="G1016" s="2" t="str">
        <f t="shared" si="46"/>
        <v/>
      </c>
      <c r="H1016" s="2" t="str">
        <f>IF(A1016="","",MIN('Loan Inputs'!$B$18,MAX(0,C1016+E1016-'Loan Inputs'!$B$17)))</f>
        <v/>
      </c>
    </row>
    <row r="1017" spans="1:8" ht="22" customHeight="1">
      <c r="A1017" s="1" t="str">
        <f>IF(AND('Loan Inputs'!$B$12,1011&lt;=IF('Loan Inputs'!$B$12,'Loan Inputs'!$B$7,0)*'Loan Inputs'!$B$14+5*'Loan Inputs'!$B$14,ISNUMBER(G1016),G1016&gt;0),1011,"")</f>
        <v/>
      </c>
      <c r="B1017" s="4" t="str">
        <f>IF(A1017="","",IF('Loan Inputs'!$B$14=12,DATE(YEAR('Loan Inputs'!$B$8),MONTH('Loan Inputs'!$B$8)+A1017,DAY('Loan Inputs'!$B$8)),'Loan Inputs'!$B$8+A1017*IF('Loan Inputs'!$B$14=26,14,7)))</f>
        <v/>
      </c>
      <c r="C1017" s="2" t="str">
        <f t="shared" si="47"/>
        <v/>
      </c>
      <c r="D1017" s="2" t="str">
        <f>IF(A1017="","",MIN('Loan Inputs'!$B$17,C1017+E1017)+H1017)</f>
        <v/>
      </c>
      <c r="E1017" s="2" t="str">
        <f>IF(A1017="","",C1017*'Loan Inputs'!$B$15)</f>
        <v/>
      </c>
      <c r="F1017" s="2" t="str">
        <f t="shared" si="45"/>
        <v/>
      </c>
      <c r="G1017" s="2" t="str">
        <f t="shared" si="46"/>
        <v/>
      </c>
      <c r="H1017" s="2" t="str">
        <f>IF(A1017="","",MIN('Loan Inputs'!$B$18,MAX(0,C1017+E1017-'Loan Inputs'!$B$17)))</f>
        <v/>
      </c>
    </row>
    <row r="1018" spans="1:8" ht="22" customHeight="1">
      <c r="A1018" s="1" t="str">
        <f>IF(AND('Loan Inputs'!$B$12,1012&lt;=IF('Loan Inputs'!$B$12,'Loan Inputs'!$B$7,0)*'Loan Inputs'!$B$14+5*'Loan Inputs'!$B$14,ISNUMBER(G1017),G1017&gt;0),1012,"")</f>
        <v/>
      </c>
      <c r="B1018" s="4" t="str">
        <f>IF(A1018="","",IF('Loan Inputs'!$B$14=12,DATE(YEAR('Loan Inputs'!$B$8),MONTH('Loan Inputs'!$B$8)+A1018,DAY('Loan Inputs'!$B$8)),'Loan Inputs'!$B$8+A1018*IF('Loan Inputs'!$B$14=26,14,7)))</f>
        <v/>
      </c>
      <c r="C1018" s="2" t="str">
        <f t="shared" si="47"/>
        <v/>
      </c>
      <c r="D1018" s="2" t="str">
        <f>IF(A1018="","",MIN('Loan Inputs'!$B$17,C1018+E1018)+H1018)</f>
        <v/>
      </c>
      <c r="E1018" s="2" t="str">
        <f>IF(A1018="","",C1018*'Loan Inputs'!$B$15)</f>
        <v/>
      </c>
      <c r="F1018" s="2" t="str">
        <f t="shared" si="45"/>
        <v/>
      </c>
      <c r="G1018" s="2" t="str">
        <f t="shared" si="46"/>
        <v/>
      </c>
      <c r="H1018" s="2" t="str">
        <f>IF(A1018="","",MIN('Loan Inputs'!$B$18,MAX(0,C1018+E1018-'Loan Inputs'!$B$17)))</f>
        <v/>
      </c>
    </row>
    <row r="1019" spans="1:8" ht="22" customHeight="1">
      <c r="A1019" s="1" t="str">
        <f>IF(AND('Loan Inputs'!$B$12,1013&lt;=IF('Loan Inputs'!$B$12,'Loan Inputs'!$B$7,0)*'Loan Inputs'!$B$14+5*'Loan Inputs'!$B$14,ISNUMBER(G1018),G1018&gt;0),1013,"")</f>
        <v/>
      </c>
      <c r="B1019" s="4" t="str">
        <f>IF(A1019="","",IF('Loan Inputs'!$B$14=12,DATE(YEAR('Loan Inputs'!$B$8),MONTH('Loan Inputs'!$B$8)+A1019,DAY('Loan Inputs'!$B$8)),'Loan Inputs'!$B$8+A1019*IF('Loan Inputs'!$B$14=26,14,7)))</f>
        <v/>
      </c>
      <c r="C1019" s="2" t="str">
        <f t="shared" si="47"/>
        <v/>
      </c>
      <c r="D1019" s="2" t="str">
        <f>IF(A1019="","",MIN('Loan Inputs'!$B$17,C1019+E1019)+H1019)</f>
        <v/>
      </c>
      <c r="E1019" s="2" t="str">
        <f>IF(A1019="","",C1019*'Loan Inputs'!$B$15)</f>
        <v/>
      </c>
      <c r="F1019" s="2" t="str">
        <f t="shared" si="45"/>
        <v/>
      </c>
      <c r="G1019" s="2" t="str">
        <f t="shared" si="46"/>
        <v/>
      </c>
      <c r="H1019" s="2" t="str">
        <f>IF(A1019="","",MIN('Loan Inputs'!$B$18,MAX(0,C1019+E1019-'Loan Inputs'!$B$17)))</f>
        <v/>
      </c>
    </row>
    <row r="1020" spans="1:8" ht="22" customHeight="1">
      <c r="A1020" s="1" t="str">
        <f>IF(AND('Loan Inputs'!$B$12,1014&lt;=IF('Loan Inputs'!$B$12,'Loan Inputs'!$B$7,0)*'Loan Inputs'!$B$14+5*'Loan Inputs'!$B$14,ISNUMBER(G1019),G1019&gt;0),1014,"")</f>
        <v/>
      </c>
      <c r="B1020" s="4" t="str">
        <f>IF(A1020="","",IF('Loan Inputs'!$B$14=12,DATE(YEAR('Loan Inputs'!$B$8),MONTH('Loan Inputs'!$B$8)+A1020,DAY('Loan Inputs'!$B$8)),'Loan Inputs'!$B$8+A1020*IF('Loan Inputs'!$B$14=26,14,7)))</f>
        <v/>
      </c>
      <c r="C1020" s="2" t="str">
        <f t="shared" si="47"/>
        <v/>
      </c>
      <c r="D1020" s="2" t="str">
        <f>IF(A1020="","",MIN('Loan Inputs'!$B$17,C1020+E1020)+H1020)</f>
        <v/>
      </c>
      <c r="E1020" s="2" t="str">
        <f>IF(A1020="","",C1020*'Loan Inputs'!$B$15)</f>
        <v/>
      </c>
      <c r="F1020" s="2" t="str">
        <f t="shared" si="45"/>
        <v/>
      </c>
      <c r="G1020" s="2" t="str">
        <f t="shared" si="46"/>
        <v/>
      </c>
      <c r="H1020" s="2" t="str">
        <f>IF(A1020="","",MIN('Loan Inputs'!$B$18,MAX(0,C1020+E1020-'Loan Inputs'!$B$17)))</f>
        <v/>
      </c>
    </row>
    <row r="1021" spans="1:8" ht="22" customHeight="1">
      <c r="A1021" s="1" t="str">
        <f>IF(AND('Loan Inputs'!$B$12,1015&lt;=IF('Loan Inputs'!$B$12,'Loan Inputs'!$B$7,0)*'Loan Inputs'!$B$14+5*'Loan Inputs'!$B$14,ISNUMBER(G1020),G1020&gt;0),1015,"")</f>
        <v/>
      </c>
      <c r="B1021" s="4" t="str">
        <f>IF(A1021="","",IF('Loan Inputs'!$B$14=12,DATE(YEAR('Loan Inputs'!$B$8),MONTH('Loan Inputs'!$B$8)+A1021,DAY('Loan Inputs'!$B$8)),'Loan Inputs'!$B$8+A1021*IF('Loan Inputs'!$B$14=26,14,7)))</f>
        <v/>
      </c>
      <c r="C1021" s="2" t="str">
        <f t="shared" si="47"/>
        <v/>
      </c>
      <c r="D1021" s="2" t="str">
        <f>IF(A1021="","",MIN('Loan Inputs'!$B$17,C1021+E1021)+H1021)</f>
        <v/>
      </c>
      <c r="E1021" s="2" t="str">
        <f>IF(A1021="","",C1021*'Loan Inputs'!$B$15)</f>
        <v/>
      </c>
      <c r="F1021" s="2" t="str">
        <f t="shared" si="45"/>
        <v/>
      </c>
      <c r="G1021" s="2" t="str">
        <f t="shared" si="46"/>
        <v/>
      </c>
      <c r="H1021" s="2" t="str">
        <f>IF(A1021="","",MIN('Loan Inputs'!$B$18,MAX(0,C1021+E1021-'Loan Inputs'!$B$17)))</f>
        <v/>
      </c>
    </row>
    <row r="1022" spans="1:8" ht="22" customHeight="1">
      <c r="A1022" s="1" t="str">
        <f>IF(AND('Loan Inputs'!$B$12,1016&lt;=IF('Loan Inputs'!$B$12,'Loan Inputs'!$B$7,0)*'Loan Inputs'!$B$14+5*'Loan Inputs'!$B$14,ISNUMBER(G1021),G1021&gt;0),1016,"")</f>
        <v/>
      </c>
      <c r="B1022" s="4" t="str">
        <f>IF(A1022="","",IF('Loan Inputs'!$B$14=12,DATE(YEAR('Loan Inputs'!$B$8),MONTH('Loan Inputs'!$B$8)+A1022,DAY('Loan Inputs'!$B$8)),'Loan Inputs'!$B$8+A1022*IF('Loan Inputs'!$B$14=26,14,7)))</f>
        <v/>
      </c>
      <c r="C1022" s="2" t="str">
        <f t="shared" si="47"/>
        <v/>
      </c>
      <c r="D1022" s="2" t="str">
        <f>IF(A1022="","",MIN('Loan Inputs'!$B$17,C1022+E1022)+H1022)</f>
        <v/>
      </c>
      <c r="E1022" s="2" t="str">
        <f>IF(A1022="","",C1022*'Loan Inputs'!$B$15)</f>
        <v/>
      </c>
      <c r="F1022" s="2" t="str">
        <f t="shared" si="45"/>
        <v/>
      </c>
      <c r="G1022" s="2" t="str">
        <f t="shared" si="46"/>
        <v/>
      </c>
      <c r="H1022" s="2" t="str">
        <f>IF(A1022="","",MIN('Loan Inputs'!$B$18,MAX(0,C1022+E1022-'Loan Inputs'!$B$17)))</f>
        <v/>
      </c>
    </row>
    <row r="1023" spans="1:8" ht="22" customHeight="1">
      <c r="A1023" s="1" t="str">
        <f>IF(AND('Loan Inputs'!$B$12,1017&lt;=IF('Loan Inputs'!$B$12,'Loan Inputs'!$B$7,0)*'Loan Inputs'!$B$14+5*'Loan Inputs'!$B$14,ISNUMBER(G1022),G1022&gt;0),1017,"")</f>
        <v/>
      </c>
      <c r="B1023" s="4" t="str">
        <f>IF(A1023="","",IF('Loan Inputs'!$B$14=12,DATE(YEAR('Loan Inputs'!$B$8),MONTH('Loan Inputs'!$B$8)+A1023,DAY('Loan Inputs'!$B$8)),'Loan Inputs'!$B$8+A1023*IF('Loan Inputs'!$B$14=26,14,7)))</f>
        <v/>
      </c>
      <c r="C1023" s="2" t="str">
        <f t="shared" si="47"/>
        <v/>
      </c>
      <c r="D1023" s="2" t="str">
        <f>IF(A1023="","",MIN('Loan Inputs'!$B$17,C1023+E1023)+H1023)</f>
        <v/>
      </c>
      <c r="E1023" s="2" t="str">
        <f>IF(A1023="","",C1023*'Loan Inputs'!$B$15)</f>
        <v/>
      </c>
      <c r="F1023" s="2" t="str">
        <f t="shared" si="45"/>
        <v/>
      </c>
      <c r="G1023" s="2" t="str">
        <f t="shared" si="46"/>
        <v/>
      </c>
      <c r="H1023" s="2" t="str">
        <f>IF(A1023="","",MIN('Loan Inputs'!$B$18,MAX(0,C1023+E1023-'Loan Inputs'!$B$17)))</f>
        <v/>
      </c>
    </row>
    <row r="1024" spans="1:8" ht="22" customHeight="1">
      <c r="A1024" s="1" t="str">
        <f>IF(AND('Loan Inputs'!$B$12,1018&lt;=IF('Loan Inputs'!$B$12,'Loan Inputs'!$B$7,0)*'Loan Inputs'!$B$14+5*'Loan Inputs'!$B$14,ISNUMBER(G1023),G1023&gt;0),1018,"")</f>
        <v/>
      </c>
      <c r="B1024" s="4" t="str">
        <f>IF(A1024="","",IF('Loan Inputs'!$B$14=12,DATE(YEAR('Loan Inputs'!$B$8),MONTH('Loan Inputs'!$B$8)+A1024,DAY('Loan Inputs'!$B$8)),'Loan Inputs'!$B$8+A1024*IF('Loan Inputs'!$B$14=26,14,7)))</f>
        <v/>
      </c>
      <c r="C1024" s="2" t="str">
        <f t="shared" si="47"/>
        <v/>
      </c>
      <c r="D1024" s="2" t="str">
        <f>IF(A1024="","",MIN('Loan Inputs'!$B$17,C1024+E1024)+H1024)</f>
        <v/>
      </c>
      <c r="E1024" s="2" t="str">
        <f>IF(A1024="","",C1024*'Loan Inputs'!$B$15)</f>
        <v/>
      </c>
      <c r="F1024" s="2" t="str">
        <f t="shared" si="45"/>
        <v/>
      </c>
      <c r="G1024" s="2" t="str">
        <f t="shared" si="46"/>
        <v/>
      </c>
      <c r="H1024" s="2" t="str">
        <f>IF(A1024="","",MIN('Loan Inputs'!$B$18,MAX(0,C1024+E1024-'Loan Inputs'!$B$17)))</f>
        <v/>
      </c>
    </row>
    <row r="1025" spans="1:8" ht="22" customHeight="1">
      <c r="A1025" s="1" t="str">
        <f>IF(AND('Loan Inputs'!$B$12,1019&lt;=IF('Loan Inputs'!$B$12,'Loan Inputs'!$B$7,0)*'Loan Inputs'!$B$14+5*'Loan Inputs'!$B$14,ISNUMBER(G1024),G1024&gt;0),1019,"")</f>
        <v/>
      </c>
      <c r="B1025" s="4" t="str">
        <f>IF(A1025="","",IF('Loan Inputs'!$B$14=12,DATE(YEAR('Loan Inputs'!$B$8),MONTH('Loan Inputs'!$B$8)+A1025,DAY('Loan Inputs'!$B$8)),'Loan Inputs'!$B$8+A1025*IF('Loan Inputs'!$B$14=26,14,7)))</f>
        <v/>
      </c>
      <c r="C1025" s="2" t="str">
        <f t="shared" si="47"/>
        <v/>
      </c>
      <c r="D1025" s="2" t="str">
        <f>IF(A1025="","",MIN('Loan Inputs'!$B$17,C1025+E1025)+H1025)</f>
        <v/>
      </c>
      <c r="E1025" s="2" t="str">
        <f>IF(A1025="","",C1025*'Loan Inputs'!$B$15)</f>
        <v/>
      </c>
      <c r="F1025" s="2" t="str">
        <f t="shared" si="45"/>
        <v/>
      </c>
      <c r="G1025" s="2" t="str">
        <f t="shared" si="46"/>
        <v/>
      </c>
      <c r="H1025" s="2" t="str">
        <f>IF(A1025="","",MIN('Loan Inputs'!$B$18,MAX(0,C1025+E1025-'Loan Inputs'!$B$17)))</f>
        <v/>
      </c>
    </row>
    <row r="1026" spans="1:8" ht="22" customHeight="1">
      <c r="A1026" s="1" t="str">
        <f>IF(AND('Loan Inputs'!$B$12,1020&lt;=IF('Loan Inputs'!$B$12,'Loan Inputs'!$B$7,0)*'Loan Inputs'!$B$14+5*'Loan Inputs'!$B$14,ISNUMBER(G1025),G1025&gt;0),1020,"")</f>
        <v/>
      </c>
      <c r="B1026" s="4" t="str">
        <f>IF(A1026="","",IF('Loan Inputs'!$B$14=12,DATE(YEAR('Loan Inputs'!$B$8),MONTH('Loan Inputs'!$B$8)+A1026,DAY('Loan Inputs'!$B$8)),'Loan Inputs'!$B$8+A1026*IF('Loan Inputs'!$B$14=26,14,7)))</f>
        <v/>
      </c>
      <c r="C1026" s="2" t="str">
        <f t="shared" si="47"/>
        <v/>
      </c>
      <c r="D1026" s="2" t="str">
        <f>IF(A1026="","",MIN('Loan Inputs'!$B$17,C1026+E1026)+H1026)</f>
        <v/>
      </c>
      <c r="E1026" s="2" t="str">
        <f>IF(A1026="","",C1026*'Loan Inputs'!$B$15)</f>
        <v/>
      </c>
      <c r="F1026" s="2" t="str">
        <f t="shared" si="45"/>
        <v/>
      </c>
      <c r="G1026" s="2" t="str">
        <f t="shared" si="46"/>
        <v/>
      </c>
      <c r="H1026" s="2" t="str">
        <f>IF(A1026="","",MIN('Loan Inputs'!$B$18,MAX(0,C1026+E1026-'Loan Inputs'!$B$17)))</f>
        <v/>
      </c>
    </row>
    <row r="1027" spans="1:8" ht="22" customHeight="1">
      <c r="A1027" s="1" t="str">
        <f>IF(AND('Loan Inputs'!$B$12,1021&lt;=IF('Loan Inputs'!$B$12,'Loan Inputs'!$B$7,0)*'Loan Inputs'!$B$14+5*'Loan Inputs'!$B$14,ISNUMBER(G1026),G1026&gt;0),1021,"")</f>
        <v/>
      </c>
      <c r="B1027" s="4" t="str">
        <f>IF(A1027="","",IF('Loan Inputs'!$B$14=12,DATE(YEAR('Loan Inputs'!$B$8),MONTH('Loan Inputs'!$B$8)+A1027,DAY('Loan Inputs'!$B$8)),'Loan Inputs'!$B$8+A1027*IF('Loan Inputs'!$B$14=26,14,7)))</f>
        <v/>
      </c>
      <c r="C1027" s="2" t="str">
        <f t="shared" si="47"/>
        <v/>
      </c>
      <c r="D1027" s="2" t="str">
        <f>IF(A1027="","",MIN('Loan Inputs'!$B$17,C1027+E1027)+H1027)</f>
        <v/>
      </c>
      <c r="E1027" s="2" t="str">
        <f>IF(A1027="","",C1027*'Loan Inputs'!$B$15)</f>
        <v/>
      </c>
      <c r="F1027" s="2" t="str">
        <f t="shared" si="45"/>
        <v/>
      </c>
      <c r="G1027" s="2" t="str">
        <f t="shared" si="46"/>
        <v/>
      </c>
      <c r="H1027" s="2" t="str">
        <f>IF(A1027="","",MIN('Loan Inputs'!$B$18,MAX(0,C1027+E1027-'Loan Inputs'!$B$17)))</f>
        <v/>
      </c>
    </row>
    <row r="1028" spans="1:8" ht="22" customHeight="1">
      <c r="A1028" s="1" t="str">
        <f>IF(AND('Loan Inputs'!$B$12,1022&lt;=IF('Loan Inputs'!$B$12,'Loan Inputs'!$B$7,0)*'Loan Inputs'!$B$14+5*'Loan Inputs'!$B$14,ISNUMBER(G1027),G1027&gt;0),1022,"")</f>
        <v/>
      </c>
      <c r="B1028" s="4" t="str">
        <f>IF(A1028="","",IF('Loan Inputs'!$B$14=12,DATE(YEAR('Loan Inputs'!$B$8),MONTH('Loan Inputs'!$B$8)+A1028,DAY('Loan Inputs'!$B$8)),'Loan Inputs'!$B$8+A1028*IF('Loan Inputs'!$B$14=26,14,7)))</f>
        <v/>
      </c>
      <c r="C1028" s="2" t="str">
        <f t="shared" si="47"/>
        <v/>
      </c>
      <c r="D1028" s="2" t="str">
        <f>IF(A1028="","",MIN('Loan Inputs'!$B$17,C1028+E1028)+H1028)</f>
        <v/>
      </c>
      <c r="E1028" s="2" t="str">
        <f>IF(A1028="","",C1028*'Loan Inputs'!$B$15)</f>
        <v/>
      </c>
      <c r="F1028" s="2" t="str">
        <f t="shared" si="45"/>
        <v/>
      </c>
      <c r="G1028" s="2" t="str">
        <f t="shared" si="46"/>
        <v/>
      </c>
      <c r="H1028" s="2" t="str">
        <f>IF(A1028="","",MIN('Loan Inputs'!$B$18,MAX(0,C1028+E1028-'Loan Inputs'!$B$17)))</f>
        <v/>
      </c>
    </row>
    <row r="1029" spans="1:8" ht="22" customHeight="1">
      <c r="A1029" s="1" t="str">
        <f>IF(AND('Loan Inputs'!$B$12,1023&lt;=IF('Loan Inputs'!$B$12,'Loan Inputs'!$B$7,0)*'Loan Inputs'!$B$14+5*'Loan Inputs'!$B$14,ISNUMBER(G1028),G1028&gt;0),1023,"")</f>
        <v/>
      </c>
      <c r="B1029" s="4" t="str">
        <f>IF(A1029="","",IF('Loan Inputs'!$B$14=12,DATE(YEAR('Loan Inputs'!$B$8),MONTH('Loan Inputs'!$B$8)+A1029,DAY('Loan Inputs'!$B$8)),'Loan Inputs'!$B$8+A1029*IF('Loan Inputs'!$B$14=26,14,7)))</f>
        <v/>
      </c>
      <c r="C1029" s="2" t="str">
        <f t="shared" si="47"/>
        <v/>
      </c>
      <c r="D1029" s="2" t="str">
        <f>IF(A1029="","",MIN('Loan Inputs'!$B$17,C1029+E1029)+H1029)</f>
        <v/>
      </c>
      <c r="E1029" s="2" t="str">
        <f>IF(A1029="","",C1029*'Loan Inputs'!$B$15)</f>
        <v/>
      </c>
      <c r="F1029" s="2" t="str">
        <f t="shared" si="45"/>
        <v/>
      </c>
      <c r="G1029" s="2" t="str">
        <f t="shared" si="46"/>
        <v/>
      </c>
      <c r="H1029" s="2" t="str">
        <f>IF(A1029="","",MIN('Loan Inputs'!$B$18,MAX(0,C1029+E1029-'Loan Inputs'!$B$17)))</f>
        <v/>
      </c>
    </row>
    <row r="1030" spans="1:8" ht="22" customHeight="1">
      <c r="A1030" s="1" t="str">
        <f>IF(AND('Loan Inputs'!$B$12,1024&lt;=IF('Loan Inputs'!$B$12,'Loan Inputs'!$B$7,0)*'Loan Inputs'!$B$14+5*'Loan Inputs'!$B$14,ISNUMBER(G1029),G1029&gt;0),1024,"")</f>
        <v/>
      </c>
      <c r="B1030" s="4" t="str">
        <f>IF(A1030="","",IF('Loan Inputs'!$B$14=12,DATE(YEAR('Loan Inputs'!$B$8),MONTH('Loan Inputs'!$B$8)+A1030,DAY('Loan Inputs'!$B$8)),'Loan Inputs'!$B$8+A1030*IF('Loan Inputs'!$B$14=26,14,7)))</f>
        <v/>
      </c>
      <c r="C1030" s="2" t="str">
        <f t="shared" si="47"/>
        <v/>
      </c>
      <c r="D1030" s="2" t="str">
        <f>IF(A1030="","",MIN('Loan Inputs'!$B$17,C1030+E1030)+H1030)</f>
        <v/>
      </c>
      <c r="E1030" s="2" t="str">
        <f>IF(A1030="","",C1030*'Loan Inputs'!$B$15)</f>
        <v/>
      </c>
      <c r="F1030" s="2" t="str">
        <f t="shared" si="45"/>
        <v/>
      </c>
      <c r="G1030" s="2" t="str">
        <f t="shared" si="46"/>
        <v/>
      </c>
      <c r="H1030" s="2" t="str">
        <f>IF(A1030="","",MIN('Loan Inputs'!$B$18,MAX(0,C1030+E1030-'Loan Inputs'!$B$17)))</f>
        <v/>
      </c>
    </row>
    <row r="1031" spans="1:8" ht="22" customHeight="1">
      <c r="A1031" s="1" t="str">
        <f>IF(AND('Loan Inputs'!$B$12,1025&lt;=IF('Loan Inputs'!$B$12,'Loan Inputs'!$B$7,0)*'Loan Inputs'!$B$14+5*'Loan Inputs'!$B$14,ISNUMBER(G1030),G1030&gt;0),1025,"")</f>
        <v/>
      </c>
      <c r="B1031" s="4" t="str">
        <f>IF(A1031="","",IF('Loan Inputs'!$B$14=12,DATE(YEAR('Loan Inputs'!$B$8),MONTH('Loan Inputs'!$B$8)+A1031,DAY('Loan Inputs'!$B$8)),'Loan Inputs'!$B$8+A1031*IF('Loan Inputs'!$B$14=26,14,7)))</f>
        <v/>
      </c>
      <c r="C1031" s="2" t="str">
        <f t="shared" si="47"/>
        <v/>
      </c>
      <c r="D1031" s="2" t="str">
        <f>IF(A1031="","",MIN('Loan Inputs'!$B$17,C1031+E1031)+H1031)</f>
        <v/>
      </c>
      <c r="E1031" s="2" t="str">
        <f>IF(A1031="","",C1031*'Loan Inputs'!$B$15)</f>
        <v/>
      </c>
      <c r="F1031" s="2" t="str">
        <f t="shared" ref="F1031:F1094" si="48">IF(A1031="","",MIN(C1031,D1031-E1031))</f>
        <v/>
      </c>
      <c r="G1031" s="2" t="str">
        <f t="shared" ref="G1031:G1094" si="49">IF(A1031="","",IF(C1031-F1031&lt;0.0000001,0,MAX(0,C1031-F1031)))</f>
        <v/>
      </c>
      <c r="H1031" s="2" t="str">
        <f>IF(A1031="","",MIN('Loan Inputs'!$B$18,MAX(0,C1031+E1031-'Loan Inputs'!$B$17)))</f>
        <v/>
      </c>
    </row>
    <row r="1032" spans="1:8" ht="22" customHeight="1">
      <c r="A1032" s="1" t="str">
        <f>IF(AND('Loan Inputs'!$B$12,1026&lt;=IF('Loan Inputs'!$B$12,'Loan Inputs'!$B$7,0)*'Loan Inputs'!$B$14+5*'Loan Inputs'!$B$14,ISNUMBER(G1031),G1031&gt;0),1026,"")</f>
        <v/>
      </c>
      <c r="B1032" s="4" t="str">
        <f>IF(A1032="","",IF('Loan Inputs'!$B$14=12,DATE(YEAR('Loan Inputs'!$B$8),MONTH('Loan Inputs'!$B$8)+A1032,DAY('Loan Inputs'!$B$8)),'Loan Inputs'!$B$8+A1032*IF('Loan Inputs'!$B$14=26,14,7)))</f>
        <v/>
      </c>
      <c r="C1032" s="2" t="str">
        <f t="shared" ref="C1032:C1095" si="50">IF(A1032="","",G1031)</f>
        <v/>
      </c>
      <c r="D1032" s="2" t="str">
        <f>IF(A1032="","",MIN('Loan Inputs'!$B$17,C1032+E1032)+H1032)</f>
        <v/>
      </c>
      <c r="E1032" s="2" t="str">
        <f>IF(A1032="","",C1032*'Loan Inputs'!$B$15)</f>
        <v/>
      </c>
      <c r="F1032" s="2" t="str">
        <f t="shared" si="48"/>
        <v/>
      </c>
      <c r="G1032" s="2" t="str">
        <f t="shared" si="49"/>
        <v/>
      </c>
      <c r="H1032" s="2" t="str">
        <f>IF(A1032="","",MIN('Loan Inputs'!$B$18,MAX(0,C1032+E1032-'Loan Inputs'!$B$17)))</f>
        <v/>
      </c>
    </row>
    <row r="1033" spans="1:8" ht="22" customHeight="1">
      <c r="A1033" s="1" t="str">
        <f>IF(AND('Loan Inputs'!$B$12,1027&lt;=IF('Loan Inputs'!$B$12,'Loan Inputs'!$B$7,0)*'Loan Inputs'!$B$14+5*'Loan Inputs'!$B$14,ISNUMBER(G1032),G1032&gt;0),1027,"")</f>
        <v/>
      </c>
      <c r="B1033" s="4" t="str">
        <f>IF(A1033="","",IF('Loan Inputs'!$B$14=12,DATE(YEAR('Loan Inputs'!$B$8),MONTH('Loan Inputs'!$B$8)+A1033,DAY('Loan Inputs'!$B$8)),'Loan Inputs'!$B$8+A1033*IF('Loan Inputs'!$B$14=26,14,7)))</f>
        <v/>
      </c>
      <c r="C1033" s="2" t="str">
        <f t="shared" si="50"/>
        <v/>
      </c>
      <c r="D1033" s="2" t="str">
        <f>IF(A1033="","",MIN('Loan Inputs'!$B$17,C1033+E1033)+H1033)</f>
        <v/>
      </c>
      <c r="E1033" s="2" t="str">
        <f>IF(A1033="","",C1033*'Loan Inputs'!$B$15)</f>
        <v/>
      </c>
      <c r="F1033" s="2" t="str">
        <f t="shared" si="48"/>
        <v/>
      </c>
      <c r="G1033" s="2" t="str">
        <f t="shared" si="49"/>
        <v/>
      </c>
      <c r="H1033" s="2" t="str">
        <f>IF(A1033="","",MIN('Loan Inputs'!$B$18,MAX(0,C1033+E1033-'Loan Inputs'!$B$17)))</f>
        <v/>
      </c>
    </row>
    <row r="1034" spans="1:8" ht="22" customHeight="1">
      <c r="A1034" s="1" t="str">
        <f>IF(AND('Loan Inputs'!$B$12,1028&lt;=IF('Loan Inputs'!$B$12,'Loan Inputs'!$B$7,0)*'Loan Inputs'!$B$14+5*'Loan Inputs'!$B$14,ISNUMBER(G1033),G1033&gt;0),1028,"")</f>
        <v/>
      </c>
      <c r="B1034" s="4" t="str">
        <f>IF(A1034="","",IF('Loan Inputs'!$B$14=12,DATE(YEAR('Loan Inputs'!$B$8),MONTH('Loan Inputs'!$B$8)+A1034,DAY('Loan Inputs'!$B$8)),'Loan Inputs'!$B$8+A1034*IF('Loan Inputs'!$B$14=26,14,7)))</f>
        <v/>
      </c>
      <c r="C1034" s="2" t="str">
        <f t="shared" si="50"/>
        <v/>
      </c>
      <c r="D1034" s="2" t="str">
        <f>IF(A1034="","",MIN('Loan Inputs'!$B$17,C1034+E1034)+H1034)</f>
        <v/>
      </c>
      <c r="E1034" s="2" t="str">
        <f>IF(A1034="","",C1034*'Loan Inputs'!$B$15)</f>
        <v/>
      </c>
      <c r="F1034" s="2" t="str">
        <f t="shared" si="48"/>
        <v/>
      </c>
      <c r="G1034" s="2" t="str">
        <f t="shared" si="49"/>
        <v/>
      </c>
      <c r="H1034" s="2" t="str">
        <f>IF(A1034="","",MIN('Loan Inputs'!$B$18,MAX(0,C1034+E1034-'Loan Inputs'!$B$17)))</f>
        <v/>
      </c>
    </row>
    <row r="1035" spans="1:8" ht="22" customHeight="1">
      <c r="A1035" s="1" t="str">
        <f>IF(AND('Loan Inputs'!$B$12,1029&lt;=IF('Loan Inputs'!$B$12,'Loan Inputs'!$B$7,0)*'Loan Inputs'!$B$14+5*'Loan Inputs'!$B$14,ISNUMBER(G1034),G1034&gt;0),1029,"")</f>
        <v/>
      </c>
      <c r="B1035" s="4" t="str">
        <f>IF(A1035="","",IF('Loan Inputs'!$B$14=12,DATE(YEAR('Loan Inputs'!$B$8),MONTH('Loan Inputs'!$B$8)+A1035,DAY('Loan Inputs'!$B$8)),'Loan Inputs'!$B$8+A1035*IF('Loan Inputs'!$B$14=26,14,7)))</f>
        <v/>
      </c>
      <c r="C1035" s="2" t="str">
        <f t="shared" si="50"/>
        <v/>
      </c>
      <c r="D1035" s="2" t="str">
        <f>IF(A1035="","",MIN('Loan Inputs'!$B$17,C1035+E1035)+H1035)</f>
        <v/>
      </c>
      <c r="E1035" s="2" t="str">
        <f>IF(A1035="","",C1035*'Loan Inputs'!$B$15)</f>
        <v/>
      </c>
      <c r="F1035" s="2" t="str">
        <f t="shared" si="48"/>
        <v/>
      </c>
      <c r="G1035" s="2" t="str">
        <f t="shared" si="49"/>
        <v/>
      </c>
      <c r="H1035" s="2" t="str">
        <f>IF(A1035="","",MIN('Loan Inputs'!$B$18,MAX(0,C1035+E1035-'Loan Inputs'!$B$17)))</f>
        <v/>
      </c>
    </row>
    <row r="1036" spans="1:8" ht="22" customHeight="1">
      <c r="A1036" s="1" t="str">
        <f>IF(AND('Loan Inputs'!$B$12,1030&lt;=IF('Loan Inputs'!$B$12,'Loan Inputs'!$B$7,0)*'Loan Inputs'!$B$14+5*'Loan Inputs'!$B$14,ISNUMBER(G1035),G1035&gt;0),1030,"")</f>
        <v/>
      </c>
      <c r="B1036" s="4" t="str">
        <f>IF(A1036="","",IF('Loan Inputs'!$B$14=12,DATE(YEAR('Loan Inputs'!$B$8),MONTH('Loan Inputs'!$B$8)+A1036,DAY('Loan Inputs'!$B$8)),'Loan Inputs'!$B$8+A1036*IF('Loan Inputs'!$B$14=26,14,7)))</f>
        <v/>
      </c>
      <c r="C1036" s="2" t="str">
        <f t="shared" si="50"/>
        <v/>
      </c>
      <c r="D1036" s="2" t="str">
        <f>IF(A1036="","",MIN('Loan Inputs'!$B$17,C1036+E1036)+H1036)</f>
        <v/>
      </c>
      <c r="E1036" s="2" t="str">
        <f>IF(A1036="","",C1036*'Loan Inputs'!$B$15)</f>
        <v/>
      </c>
      <c r="F1036" s="2" t="str">
        <f t="shared" si="48"/>
        <v/>
      </c>
      <c r="G1036" s="2" t="str">
        <f t="shared" si="49"/>
        <v/>
      </c>
      <c r="H1036" s="2" t="str">
        <f>IF(A1036="","",MIN('Loan Inputs'!$B$18,MAX(0,C1036+E1036-'Loan Inputs'!$B$17)))</f>
        <v/>
      </c>
    </row>
    <row r="1037" spans="1:8" ht="22" customHeight="1">
      <c r="A1037" s="1" t="str">
        <f>IF(AND('Loan Inputs'!$B$12,1031&lt;=IF('Loan Inputs'!$B$12,'Loan Inputs'!$B$7,0)*'Loan Inputs'!$B$14+5*'Loan Inputs'!$B$14,ISNUMBER(G1036),G1036&gt;0),1031,"")</f>
        <v/>
      </c>
      <c r="B1037" s="4" t="str">
        <f>IF(A1037="","",IF('Loan Inputs'!$B$14=12,DATE(YEAR('Loan Inputs'!$B$8),MONTH('Loan Inputs'!$B$8)+A1037,DAY('Loan Inputs'!$B$8)),'Loan Inputs'!$B$8+A1037*IF('Loan Inputs'!$B$14=26,14,7)))</f>
        <v/>
      </c>
      <c r="C1037" s="2" t="str">
        <f t="shared" si="50"/>
        <v/>
      </c>
      <c r="D1037" s="2" t="str">
        <f>IF(A1037="","",MIN('Loan Inputs'!$B$17,C1037+E1037)+H1037)</f>
        <v/>
      </c>
      <c r="E1037" s="2" t="str">
        <f>IF(A1037="","",C1037*'Loan Inputs'!$B$15)</f>
        <v/>
      </c>
      <c r="F1037" s="2" t="str">
        <f t="shared" si="48"/>
        <v/>
      </c>
      <c r="G1037" s="2" t="str">
        <f t="shared" si="49"/>
        <v/>
      </c>
      <c r="H1037" s="2" t="str">
        <f>IF(A1037="","",MIN('Loan Inputs'!$B$18,MAX(0,C1037+E1037-'Loan Inputs'!$B$17)))</f>
        <v/>
      </c>
    </row>
    <row r="1038" spans="1:8" ht="22" customHeight="1">
      <c r="A1038" s="1" t="str">
        <f>IF(AND('Loan Inputs'!$B$12,1032&lt;=IF('Loan Inputs'!$B$12,'Loan Inputs'!$B$7,0)*'Loan Inputs'!$B$14+5*'Loan Inputs'!$B$14,ISNUMBER(G1037),G1037&gt;0),1032,"")</f>
        <v/>
      </c>
      <c r="B1038" s="4" t="str">
        <f>IF(A1038="","",IF('Loan Inputs'!$B$14=12,DATE(YEAR('Loan Inputs'!$B$8),MONTH('Loan Inputs'!$B$8)+A1038,DAY('Loan Inputs'!$B$8)),'Loan Inputs'!$B$8+A1038*IF('Loan Inputs'!$B$14=26,14,7)))</f>
        <v/>
      </c>
      <c r="C1038" s="2" t="str">
        <f t="shared" si="50"/>
        <v/>
      </c>
      <c r="D1038" s="2" t="str">
        <f>IF(A1038="","",MIN('Loan Inputs'!$B$17,C1038+E1038)+H1038)</f>
        <v/>
      </c>
      <c r="E1038" s="2" t="str">
        <f>IF(A1038="","",C1038*'Loan Inputs'!$B$15)</f>
        <v/>
      </c>
      <c r="F1038" s="2" t="str">
        <f t="shared" si="48"/>
        <v/>
      </c>
      <c r="G1038" s="2" t="str">
        <f t="shared" si="49"/>
        <v/>
      </c>
      <c r="H1038" s="2" t="str">
        <f>IF(A1038="","",MIN('Loan Inputs'!$B$18,MAX(0,C1038+E1038-'Loan Inputs'!$B$17)))</f>
        <v/>
      </c>
    </row>
    <row r="1039" spans="1:8" ht="22" customHeight="1">
      <c r="A1039" s="1" t="str">
        <f>IF(AND('Loan Inputs'!$B$12,1033&lt;=IF('Loan Inputs'!$B$12,'Loan Inputs'!$B$7,0)*'Loan Inputs'!$B$14+5*'Loan Inputs'!$B$14,ISNUMBER(G1038),G1038&gt;0),1033,"")</f>
        <v/>
      </c>
      <c r="B1039" s="4" t="str">
        <f>IF(A1039="","",IF('Loan Inputs'!$B$14=12,DATE(YEAR('Loan Inputs'!$B$8),MONTH('Loan Inputs'!$B$8)+A1039,DAY('Loan Inputs'!$B$8)),'Loan Inputs'!$B$8+A1039*IF('Loan Inputs'!$B$14=26,14,7)))</f>
        <v/>
      </c>
      <c r="C1039" s="2" t="str">
        <f t="shared" si="50"/>
        <v/>
      </c>
      <c r="D1039" s="2" t="str">
        <f>IF(A1039="","",MIN('Loan Inputs'!$B$17,C1039+E1039)+H1039)</f>
        <v/>
      </c>
      <c r="E1039" s="2" t="str">
        <f>IF(A1039="","",C1039*'Loan Inputs'!$B$15)</f>
        <v/>
      </c>
      <c r="F1039" s="2" t="str">
        <f t="shared" si="48"/>
        <v/>
      </c>
      <c r="G1039" s="2" t="str">
        <f t="shared" si="49"/>
        <v/>
      </c>
      <c r="H1039" s="2" t="str">
        <f>IF(A1039="","",MIN('Loan Inputs'!$B$18,MAX(0,C1039+E1039-'Loan Inputs'!$B$17)))</f>
        <v/>
      </c>
    </row>
    <row r="1040" spans="1:8" ht="22" customHeight="1">
      <c r="A1040" s="1" t="str">
        <f>IF(AND('Loan Inputs'!$B$12,1034&lt;=IF('Loan Inputs'!$B$12,'Loan Inputs'!$B$7,0)*'Loan Inputs'!$B$14+5*'Loan Inputs'!$B$14,ISNUMBER(G1039),G1039&gt;0),1034,"")</f>
        <v/>
      </c>
      <c r="B1040" s="4" t="str">
        <f>IF(A1040="","",IF('Loan Inputs'!$B$14=12,DATE(YEAR('Loan Inputs'!$B$8),MONTH('Loan Inputs'!$B$8)+A1040,DAY('Loan Inputs'!$B$8)),'Loan Inputs'!$B$8+A1040*IF('Loan Inputs'!$B$14=26,14,7)))</f>
        <v/>
      </c>
      <c r="C1040" s="2" t="str">
        <f t="shared" si="50"/>
        <v/>
      </c>
      <c r="D1040" s="2" t="str">
        <f>IF(A1040="","",MIN('Loan Inputs'!$B$17,C1040+E1040)+H1040)</f>
        <v/>
      </c>
      <c r="E1040" s="2" t="str">
        <f>IF(A1040="","",C1040*'Loan Inputs'!$B$15)</f>
        <v/>
      </c>
      <c r="F1040" s="2" t="str">
        <f t="shared" si="48"/>
        <v/>
      </c>
      <c r="G1040" s="2" t="str">
        <f t="shared" si="49"/>
        <v/>
      </c>
      <c r="H1040" s="2" t="str">
        <f>IF(A1040="","",MIN('Loan Inputs'!$B$18,MAX(0,C1040+E1040-'Loan Inputs'!$B$17)))</f>
        <v/>
      </c>
    </row>
    <row r="1041" spans="1:8" ht="22" customHeight="1">
      <c r="A1041" s="1" t="str">
        <f>IF(AND('Loan Inputs'!$B$12,1035&lt;=IF('Loan Inputs'!$B$12,'Loan Inputs'!$B$7,0)*'Loan Inputs'!$B$14+5*'Loan Inputs'!$B$14,ISNUMBER(G1040),G1040&gt;0),1035,"")</f>
        <v/>
      </c>
      <c r="B1041" s="4" t="str">
        <f>IF(A1041="","",IF('Loan Inputs'!$B$14=12,DATE(YEAR('Loan Inputs'!$B$8),MONTH('Loan Inputs'!$B$8)+A1041,DAY('Loan Inputs'!$B$8)),'Loan Inputs'!$B$8+A1041*IF('Loan Inputs'!$B$14=26,14,7)))</f>
        <v/>
      </c>
      <c r="C1041" s="2" t="str">
        <f t="shared" si="50"/>
        <v/>
      </c>
      <c r="D1041" s="2" t="str">
        <f>IF(A1041="","",MIN('Loan Inputs'!$B$17,C1041+E1041)+H1041)</f>
        <v/>
      </c>
      <c r="E1041" s="2" t="str">
        <f>IF(A1041="","",C1041*'Loan Inputs'!$B$15)</f>
        <v/>
      </c>
      <c r="F1041" s="2" t="str">
        <f t="shared" si="48"/>
        <v/>
      </c>
      <c r="G1041" s="2" t="str">
        <f t="shared" si="49"/>
        <v/>
      </c>
      <c r="H1041" s="2" t="str">
        <f>IF(A1041="","",MIN('Loan Inputs'!$B$18,MAX(0,C1041+E1041-'Loan Inputs'!$B$17)))</f>
        <v/>
      </c>
    </row>
    <row r="1042" spans="1:8" ht="22" customHeight="1">
      <c r="A1042" s="1" t="str">
        <f>IF(AND('Loan Inputs'!$B$12,1036&lt;=IF('Loan Inputs'!$B$12,'Loan Inputs'!$B$7,0)*'Loan Inputs'!$B$14+5*'Loan Inputs'!$B$14,ISNUMBER(G1041),G1041&gt;0),1036,"")</f>
        <v/>
      </c>
      <c r="B1042" s="4" t="str">
        <f>IF(A1042="","",IF('Loan Inputs'!$B$14=12,DATE(YEAR('Loan Inputs'!$B$8),MONTH('Loan Inputs'!$B$8)+A1042,DAY('Loan Inputs'!$B$8)),'Loan Inputs'!$B$8+A1042*IF('Loan Inputs'!$B$14=26,14,7)))</f>
        <v/>
      </c>
      <c r="C1042" s="2" t="str">
        <f t="shared" si="50"/>
        <v/>
      </c>
      <c r="D1042" s="2" t="str">
        <f>IF(A1042="","",MIN('Loan Inputs'!$B$17,C1042+E1042)+H1042)</f>
        <v/>
      </c>
      <c r="E1042" s="2" t="str">
        <f>IF(A1042="","",C1042*'Loan Inputs'!$B$15)</f>
        <v/>
      </c>
      <c r="F1042" s="2" t="str">
        <f t="shared" si="48"/>
        <v/>
      </c>
      <c r="G1042" s="2" t="str">
        <f t="shared" si="49"/>
        <v/>
      </c>
      <c r="H1042" s="2" t="str">
        <f>IF(A1042="","",MIN('Loan Inputs'!$B$18,MAX(0,C1042+E1042-'Loan Inputs'!$B$17)))</f>
        <v/>
      </c>
    </row>
    <row r="1043" spans="1:8" ht="22" customHeight="1">
      <c r="A1043" s="1" t="str">
        <f>IF(AND('Loan Inputs'!$B$12,1037&lt;=IF('Loan Inputs'!$B$12,'Loan Inputs'!$B$7,0)*'Loan Inputs'!$B$14+5*'Loan Inputs'!$B$14,ISNUMBER(G1042),G1042&gt;0),1037,"")</f>
        <v/>
      </c>
      <c r="B1043" s="4" t="str">
        <f>IF(A1043="","",IF('Loan Inputs'!$B$14=12,DATE(YEAR('Loan Inputs'!$B$8),MONTH('Loan Inputs'!$B$8)+A1043,DAY('Loan Inputs'!$B$8)),'Loan Inputs'!$B$8+A1043*IF('Loan Inputs'!$B$14=26,14,7)))</f>
        <v/>
      </c>
      <c r="C1043" s="2" t="str">
        <f t="shared" si="50"/>
        <v/>
      </c>
      <c r="D1043" s="2" t="str">
        <f>IF(A1043="","",MIN('Loan Inputs'!$B$17,C1043+E1043)+H1043)</f>
        <v/>
      </c>
      <c r="E1043" s="2" t="str">
        <f>IF(A1043="","",C1043*'Loan Inputs'!$B$15)</f>
        <v/>
      </c>
      <c r="F1043" s="2" t="str">
        <f t="shared" si="48"/>
        <v/>
      </c>
      <c r="G1043" s="2" t="str">
        <f t="shared" si="49"/>
        <v/>
      </c>
      <c r="H1043" s="2" t="str">
        <f>IF(A1043="","",MIN('Loan Inputs'!$B$18,MAX(0,C1043+E1043-'Loan Inputs'!$B$17)))</f>
        <v/>
      </c>
    </row>
    <row r="1044" spans="1:8" ht="22" customHeight="1">
      <c r="A1044" s="1" t="str">
        <f>IF(AND('Loan Inputs'!$B$12,1038&lt;=IF('Loan Inputs'!$B$12,'Loan Inputs'!$B$7,0)*'Loan Inputs'!$B$14+5*'Loan Inputs'!$B$14,ISNUMBER(G1043),G1043&gt;0),1038,"")</f>
        <v/>
      </c>
      <c r="B1044" s="4" t="str">
        <f>IF(A1044="","",IF('Loan Inputs'!$B$14=12,DATE(YEAR('Loan Inputs'!$B$8),MONTH('Loan Inputs'!$B$8)+A1044,DAY('Loan Inputs'!$B$8)),'Loan Inputs'!$B$8+A1044*IF('Loan Inputs'!$B$14=26,14,7)))</f>
        <v/>
      </c>
      <c r="C1044" s="2" t="str">
        <f t="shared" si="50"/>
        <v/>
      </c>
      <c r="D1044" s="2" t="str">
        <f>IF(A1044="","",MIN('Loan Inputs'!$B$17,C1044+E1044)+H1044)</f>
        <v/>
      </c>
      <c r="E1044" s="2" t="str">
        <f>IF(A1044="","",C1044*'Loan Inputs'!$B$15)</f>
        <v/>
      </c>
      <c r="F1044" s="2" t="str">
        <f t="shared" si="48"/>
        <v/>
      </c>
      <c r="G1044" s="2" t="str">
        <f t="shared" si="49"/>
        <v/>
      </c>
      <c r="H1044" s="2" t="str">
        <f>IF(A1044="","",MIN('Loan Inputs'!$B$18,MAX(0,C1044+E1044-'Loan Inputs'!$B$17)))</f>
        <v/>
      </c>
    </row>
    <row r="1045" spans="1:8" ht="22" customHeight="1">
      <c r="A1045" s="1" t="str">
        <f>IF(AND('Loan Inputs'!$B$12,1039&lt;=IF('Loan Inputs'!$B$12,'Loan Inputs'!$B$7,0)*'Loan Inputs'!$B$14+5*'Loan Inputs'!$B$14,ISNUMBER(G1044),G1044&gt;0),1039,"")</f>
        <v/>
      </c>
      <c r="B1045" s="4" t="str">
        <f>IF(A1045="","",IF('Loan Inputs'!$B$14=12,DATE(YEAR('Loan Inputs'!$B$8),MONTH('Loan Inputs'!$B$8)+A1045,DAY('Loan Inputs'!$B$8)),'Loan Inputs'!$B$8+A1045*IF('Loan Inputs'!$B$14=26,14,7)))</f>
        <v/>
      </c>
      <c r="C1045" s="2" t="str">
        <f t="shared" si="50"/>
        <v/>
      </c>
      <c r="D1045" s="2" t="str">
        <f>IF(A1045="","",MIN('Loan Inputs'!$B$17,C1045+E1045)+H1045)</f>
        <v/>
      </c>
      <c r="E1045" s="2" t="str">
        <f>IF(A1045="","",C1045*'Loan Inputs'!$B$15)</f>
        <v/>
      </c>
      <c r="F1045" s="2" t="str">
        <f t="shared" si="48"/>
        <v/>
      </c>
      <c r="G1045" s="2" t="str">
        <f t="shared" si="49"/>
        <v/>
      </c>
      <c r="H1045" s="2" t="str">
        <f>IF(A1045="","",MIN('Loan Inputs'!$B$18,MAX(0,C1045+E1045-'Loan Inputs'!$B$17)))</f>
        <v/>
      </c>
    </row>
    <row r="1046" spans="1:8" ht="22" customHeight="1">
      <c r="A1046" s="1" t="str">
        <f>IF(AND('Loan Inputs'!$B$12,1040&lt;=IF('Loan Inputs'!$B$12,'Loan Inputs'!$B$7,0)*'Loan Inputs'!$B$14+5*'Loan Inputs'!$B$14,ISNUMBER(G1045),G1045&gt;0),1040,"")</f>
        <v/>
      </c>
      <c r="B1046" s="4" t="str">
        <f>IF(A1046="","",IF('Loan Inputs'!$B$14=12,DATE(YEAR('Loan Inputs'!$B$8),MONTH('Loan Inputs'!$B$8)+A1046,DAY('Loan Inputs'!$B$8)),'Loan Inputs'!$B$8+A1046*IF('Loan Inputs'!$B$14=26,14,7)))</f>
        <v/>
      </c>
      <c r="C1046" s="2" t="str">
        <f t="shared" si="50"/>
        <v/>
      </c>
      <c r="D1046" s="2" t="str">
        <f>IF(A1046="","",MIN('Loan Inputs'!$B$17,C1046+E1046)+H1046)</f>
        <v/>
      </c>
      <c r="E1046" s="2" t="str">
        <f>IF(A1046="","",C1046*'Loan Inputs'!$B$15)</f>
        <v/>
      </c>
      <c r="F1046" s="2" t="str">
        <f t="shared" si="48"/>
        <v/>
      </c>
      <c r="G1046" s="2" t="str">
        <f t="shared" si="49"/>
        <v/>
      </c>
      <c r="H1046" s="2" t="str">
        <f>IF(A1046="","",MIN('Loan Inputs'!$B$18,MAX(0,C1046+E1046-'Loan Inputs'!$B$17)))</f>
        <v/>
      </c>
    </row>
    <row r="1047" spans="1:8" ht="22" customHeight="1">
      <c r="A1047" s="1" t="str">
        <f>IF(AND('Loan Inputs'!$B$12,1041&lt;=IF('Loan Inputs'!$B$12,'Loan Inputs'!$B$7,0)*'Loan Inputs'!$B$14+5*'Loan Inputs'!$B$14,ISNUMBER(G1046),G1046&gt;0),1041,"")</f>
        <v/>
      </c>
      <c r="B1047" s="4" t="str">
        <f>IF(A1047="","",IF('Loan Inputs'!$B$14=12,DATE(YEAR('Loan Inputs'!$B$8),MONTH('Loan Inputs'!$B$8)+A1047,DAY('Loan Inputs'!$B$8)),'Loan Inputs'!$B$8+A1047*IF('Loan Inputs'!$B$14=26,14,7)))</f>
        <v/>
      </c>
      <c r="C1047" s="2" t="str">
        <f t="shared" si="50"/>
        <v/>
      </c>
      <c r="D1047" s="2" t="str">
        <f>IF(A1047="","",MIN('Loan Inputs'!$B$17,C1047+E1047)+H1047)</f>
        <v/>
      </c>
      <c r="E1047" s="2" t="str">
        <f>IF(A1047="","",C1047*'Loan Inputs'!$B$15)</f>
        <v/>
      </c>
      <c r="F1047" s="2" t="str">
        <f t="shared" si="48"/>
        <v/>
      </c>
      <c r="G1047" s="2" t="str">
        <f t="shared" si="49"/>
        <v/>
      </c>
      <c r="H1047" s="2" t="str">
        <f>IF(A1047="","",MIN('Loan Inputs'!$B$18,MAX(0,C1047+E1047-'Loan Inputs'!$B$17)))</f>
        <v/>
      </c>
    </row>
    <row r="1048" spans="1:8" ht="22" customHeight="1">
      <c r="A1048" s="1" t="str">
        <f>IF(AND('Loan Inputs'!$B$12,1042&lt;=IF('Loan Inputs'!$B$12,'Loan Inputs'!$B$7,0)*'Loan Inputs'!$B$14+5*'Loan Inputs'!$B$14,ISNUMBER(G1047),G1047&gt;0),1042,"")</f>
        <v/>
      </c>
      <c r="B1048" s="4" t="str">
        <f>IF(A1048="","",IF('Loan Inputs'!$B$14=12,DATE(YEAR('Loan Inputs'!$B$8),MONTH('Loan Inputs'!$B$8)+A1048,DAY('Loan Inputs'!$B$8)),'Loan Inputs'!$B$8+A1048*IF('Loan Inputs'!$B$14=26,14,7)))</f>
        <v/>
      </c>
      <c r="C1048" s="2" t="str">
        <f t="shared" si="50"/>
        <v/>
      </c>
      <c r="D1048" s="2" t="str">
        <f>IF(A1048="","",MIN('Loan Inputs'!$B$17,C1048+E1048)+H1048)</f>
        <v/>
      </c>
      <c r="E1048" s="2" t="str">
        <f>IF(A1048="","",C1048*'Loan Inputs'!$B$15)</f>
        <v/>
      </c>
      <c r="F1048" s="2" t="str">
        <f t="shared" si="48"/>
        <v/>
      </c>
      <c r="G1048" s="2" t="str">
        <f t="shared" si="49"/>
        <v/>
      </c>
      <c r="H1048" s="2" t="str">
        <f>IF(A1048="","",MIN('Loan Inputs'!$B$18,MAX(0,C1048+E1048-'Loan Inputs'!$B$17)))</f>
        <v/>
      </c>
    </row>
    <row r="1049" spans="1:8" ht="22" customHeight="1">
      <c r="A1049" s="1" t="str">
        <f>IF(AND('Loan Inputs'!$B$12,1043&lt;=IF('Loan Inputs'!$B$12,'Loan Inputs'!$B$7,0)*'Loan Inputs'!$B$14+5*'Loan Inputs'!$B$14,ISNUMBER(G1048),G1048&gt;0),1043,"")</f>
        <v/>
      </c>
      <c r="B1049" s="4" t="str">
        <f>IF(A1049="","",IF('Loan Inputs'!$B$14=12,DATE(YEAR('Loan Inputs'!$B$8),MONTH('Loan Inputs'!$B$8)+A1049,DAY('Loan Inputs'!$B$8)),'Loan Inputs'!$B$8+A1049*IF('Loan Inputs'!$B$14=26,14,7)))</f>
        <v/>
      </c>
      <c r="C1049" s="2" t="str">
        <f t="shared" si="50"/>
        <v/>
      </c>
      <c r="D1049" s="2" t="str">
        <f>IF(A1049="","",MIN('Loan Inputs'!$B$17,C1049+E1049)+H1049)</f>
        <v/>
      </c>
      <c r="E1049" s="2" t="str">
        <f>IF(A1049="","",C1049*'Loan Inputs'!$B$15)</f>
        <v/>
      </c>
      <c r="F1049" s="2" t="str">
        <f t="shared" si="48"/>
        <v/>
      </c>
      <c r="G1049" s="2" t="str">
        <f t="shared" si="49"/>
        <v/>
      </c>
      <c r="H1049" s="2" t="str">
        <f>IF(A1049="","",MIN('Loan Inputs'!$B$18,MAX(0,C1049+E1049-'Loan Inputs'!$B$17)))</f>
        <v/>
      </c>
    </row>
    <row r="1050" spans="1:8" ht="22" customHeight="1">
      <c r="A1050" s="1" t="str">
        <f>IF(AND('Loan Inputs'!$B$12,1044&lt;=IF('Loan Inputs'!$B$12,'Loan Inputs'!$B$7,0)*'Loan Inputs'!$B$14+5*'Loan Inputs'!$B$14,ISNUMBER(G1049),G1049&gt;0),1044,"")</f>
        <v/>
      </c>
      <c r="B1050" s="4" t="str">
        <f>IF(A1050="","",IF('Loan Inputs'!$B$14=12,DATE(YEAR('Loan Inputs'!$B$8),MONTH('Loan Inputs'!$B$8)+A1050,DAY('Loan Inputs'!$B$8)),'Loan Inputs'!$B$8+A1050*IF('Loan Inputs'!$B$14=26,14,7)))</f>
        <v/>
      </c>
      <c r="C1050" s="2" t="str">
        <f t="shared" si="50"/>
        <v/>
      </c>
      <c r="D1050" s="2" t="str">
        <f>IF(A1050="","",MIN('Loan Inputs'!$B$17,C1050+E1050)+H1050)</f>
        <v/>
      </c>
      <c r="E1050" s="2" t="str">
        <f>IF(A1050="","",C1050*'Loan Inputs'!$B$15)</f>
        <v/>
      </c>
      <c r="F1050" s="2" t="str">
        <f t="shared" si="48"/>
        <v/>
      </c>
      <c r="G1050" s="2" t="str">
        <f t="shared" si="49"/>
        <v/>
      </c>
      <c r="H1050" s="2" t="str">
        <f>IF(A1050="","",MIN('Loan Inputs'!$B$18,MAX(0,C1050+E1050-'Loan Inputs'!$B$17)))</f>
        <v/>
      </c>
    </row>
    <row r="1051" spans="1:8" ht="22" customHeight="1">
      <c r="A1051" s="1" t="str">
        <f>IF(AND('Loan Inputs'!$B$12,1045&lt;=IF('Loan Inputs'!$B$12,'Loan Inputs'!$B$7,0)*'Loan Inputs'!$B$14+5*'Loan Inputs'!$B$14,ISNUMBER(G1050),G1050&gt;0),1045,"")</f>
        <v/>
      </c>
      <c r="B1051" s="4" t="str">
        <f>IF(A1051="","",IF('Loan Inputs'!$B$14=12,DATE(YEAR('Loan Inputs'!$B$8),MONTH('Loan Inputs'!$B$8)+A1051,DAY('Loan Inputs'!$B$8)),'Loan Inputs'!$B$8+A1051*IF('Loan Inputs'!$B$14=26,14,7)))</f>
        <v/>
      </c>
      <c r="C1051" s="2" t="str">
        <f t="shared" si="50"/>
        <v/>
      </c>
      <c r="D1051" s="2" t="str">
        <f>IF(A1051="","",MIN('Loan Inputs'!$B$17,C1051+E1051)+H1051)</f>
        <v/>
      </c>
      <c r="E1051" s="2" t="str">
        <f>IF(A1051="","",C1051*'Loan Inputs'!$B$15)</f>
        <v/>
      </c>
      <c r="F1051" s="2" t="str">
        <f t="shared" si="48"/>
        <v/>
      </c>
      <c r="G1051" s="2" t="str">
        <f t="shared" si="49"/>
        <v/>
      </c>
      <c r="H1051" s="2" t="str">
        <f>IF(A1051="","",MIN('Loan Inputs'!$B$18,MAX(0,C1051+E1051-'Loan Inputs'!$B$17)))</f>
        <v/>
      </c>
    </row>
    <row r="1052" spans="1:8" ht="22" customHeight="1">
      <c r="A1052" s="1" t="str">
        <f>IF(AND('Loan Inputs'!$B$12,1046&lt;=IF('Loan Inputs'!$B$12,'Loan Inputs'!$B$7,0)*'Loan Inputs'!$B$14+5*'Loan Inputs'!$B$14,ISNUMBER(G1051),G1051&gt;0),1046,"")</f>
        <v/>
      </c>
      <c r="B1052" s="4" t="str">
        <f>IF(A1052="","",IF('Loan Inputs'!$B$14=12,DATE(YEAR('Loan Inputs'!$B$8),MONTH('Loan Inputs'!$B$8)+A1052,DAY('Loan Inputs'!$B$8)),'Loan Inputs'!$B$8+A1052*IF('Loan Inputs'!$B$14=26,14,7)))</f>
        <v/>
      </c>
      <c r="C1052" s="2" t="str">
        <f t="shared" si="50"/>
        <v/>
      </c>
      <c r="D1052" s="2" t="str">
        <f>IF(A1052="","",MIN('Loan Inputs'!$B$17,C1052+E1052)+H1052)</f>
        <v/>
      </c>
      <c r="E1052" s="2" t="str">
        <f>IF(A1052="","",C1052*'Loan Inputs'!$B$15)</f>
        <v/>
      </c>
      <c r="F1052" s="2" t="str">
        <f t="shared" si="48"/>
        <v/>
      </c>
      <c r="G1052" s="2" t="str">
        <f t="shared" si="49"/>
        <v/>
      </c>
      <c r="H1052" s="2" t="str">
        <f>IF(A1052="","",MIN('Loan Inputs'!$B$18,MAX(0,C1052+E1052-'Loan Inputs'!$B$17)))</f>
        <v/>
      </c>
    </row>
    <row r="1053" spans="1:8" ht="22" customHeight="1">
      <c r="A1053" s="1" t="str">
        <f>IF(AND('Loan Inputs'!$B$12,1047&lt;=IF('Loan Inputs'!$B$12,'Loan Inputs'!$B$7,0)*'Loan Inputs'!$B$14+5*'Loan Inputs'!$B$14,ISNUMBER(G1052),G1052&gt;0),1047,"")</f>
        <v/>
      </c>
      <c r="B1053" s="4" t="str">
        <f>IF(A1053="","",IF('Loan Inputs'!$B$14=12,DATE(YEAR('Loan Inputs'!$B$8),MONTH('Loan Inputs'!$B$8)+A1053,DAY('Loan Inputs'!$B$8)),'Loan Inputs'!$B$8+A1053*IF('Loan Inputs'!$B$14=26,14,7)))</f>
        <v/>
      </c>
      <c r="C1053" s="2" t="str">
        <f t="shared" si="50"/>
        <v/>
      </c>
      <c r="D1053" s="2" t="str">
        <f>IF(A1053="","",MIN('Loan Inputs'!$B$17,C1053+E1053)+H1053)</f>
        <v/>
      </c>
      <c r="E1053" s="2" t="str">
        <f>IF(A1053="","",C1053*'Loan Inputs'!$B$15)</f>
        <v/>
      </c>
      <c r="F1053" s="2" t="str">
        <f t="shared" si="48"/>
        <v/>
      </c>
      <c r="G1053" s="2" t="str">
        <f t="shared" si="49"/>
        <v/>
      </c>
      <c r="H1053" s="2" t="str">
        <f>IF(A1053="","",MIN('Loan Inputs'!$B$18,MAX(0,C1053+E1053-'Loan Inputs'!$B$17)))</f>
        <v/>
      </c>
    </row>
    <row r="1054" spans="1:8" ht="22" customHeight="1">
      <c r="A1054" s="1" t="str">
        <f>IF(AND('Loan Inputs'!$B$12,1048&lt;=IF('Loan Inputs'!$B$12,'Loan Inputs'!$B$7,0)*'Loan Inputs'!$B$14+5*'Loan Inputs'!$B$14,ISNUMBER(G1053),G1053&gt;0),1048,"")</f>
        <v/>
      </c>
      <c r="B1054" s="4" t="str">
        <f>IF(A1054="","",IF('Loan Inputs'!$B$14=12,DATE(YEAR('Loan Inputs'!$B$8),MONTH('Loan Inputs'!$B$8)+A1054,DAY('Loan Inputs'!$B$8)),'Loan Inputs'!$B$8+A1054*IF('Loan Inputs'!$B$14=26,14,7)))</f>
        <v/>
      </c>
      <c r="C1054" s="2" t="str">
        <f t="shared" si="50"/>
        <v/>
      </c>
      <c r="D1054" s="2" t="str">
        <f>IF(A1054="","",MIN('Loan Inputs'!$B$17,C1054+E1054)+H1054)</f>
        <v/>
      </c>
      <c r="E1054" s="2" t="str">
        <f>IF(A1054="","",C1054*'Loan Inputs'!$B$15)</f>
        <v/>
      </c>
      <c r="F1054" s="2" t="str">
        <f t="shared" si="48"/>
        <v/>
      </c>
      <c r="G1054" s="2" t="str">
        <f t="shared" si="49"/>
        <v/>
      </c>
      <c r="H1054" s="2" t="str">
        <f>IF(A1054="","",MIN('Loan Inputs'!$B$18,MAX(0,C1054+E1054-'Loan Inputs'!$B$17)))</f>
        <v/>
      </c>
    </row>
    <row r="1055" spans="1:8" ht="22" customHeight="1">
      <c r="A1055" s="1" t="str">
        <f>IF(AND('Loan Inputs'!$B$12,1049&lt;=IF('Loan Inputs'!$B$12,'Loan Inputs'!$B$7,0)*'Loan Inputs'!$B$14+5*'Loan Inputs'!$B$14,ISNUMBER(G1054),G1054&gt;0),1049,"")</f>
        <v/>
      </c>
      <c r="B1055" s="4" t="str">
        <f>IF(A1055="","",IF('Loan Inputs'!$B$14=12,DATE(YEAR('Loan Inputs'!$B$8),MONTH('Loan Inputs'!$B$8)+A1055,DAY('Loan Inputs'!$B$8)),'Loan Inputs'!$B$8+A1055*IF('Loan Inputs'!$B$14=26,14,7)))</f>
        <v/>
      </c>
      <c r="C1055" s="2" t="str">
        <f t="shared" si="50"/>
        <v/>
      </c>
      <c r="D1055" s="2" t="str">
        <f>IF(A1055="","",MIN('Loan Inputs'!$B$17,C1055+E1055)+H1055)</f>
        <v/>
      </c>
      <c r="E1055" s="2" t="str">
        <f>IF(A1055="","",C1055*'Loan Inputs'!$B$15)</f>
        <v/>
      </c>
      <c r="F1055" s="2" t="str">
        <f t="shared" si="48"/>
        <v/>
      </c>
      <c r="G1055" s="2" t="str">
        <f t="shared" si="49"/>
        <v/>
      </c>
      <c r="H1055" s="2" t="str">
        <f>IF(A1055="","",MIN('Loan Inputs'!$B$18,MAX(0,C1055+E1055-'Loan Inputs'!$B$17)))</f>
        <v/>
      </c>
    </row>
    <row r="1056" spans="1:8" ht="22" customHeight="1">
      <c r="A1056" s="1" t="str">
        <f>IF(AND('Loan Inputs'!$B$12,1050&lt;=IF('Loan Inputs'!$B$12,'Loan Inputs'!$B$7,0)*'Loan Inputs'!$B$14+5*'Loan Inputs'!$B$14,ISNUMBER(G1055),G1055&gt;0),1050,"")</f>
        <v/>
      </c>
      <c r="B1056" s="4" t="str">
        <f>IF(A1056="","",IF('Loan Inputs'!$B$14=12,DATE(YEAR('Loan Inputs'!$B$8),MONTH('Loan Inputs'!$B$8)+A1056,DAY('Loan Inputs'!$B$8)),'Loan Inputs'!$B$8+A1056*IF('Loan Inputs'!$B$14=26,14,7)))</f>
        <v/>
      </c>
      <c r="C1056" s="2" t="str">
        <f t="shared" si="50"/>
        <v/>
      </c>
      <c r="D1056" s="2" t="str">
        <f>IF(A1056="","",MIN('Loan Inputs'!$B$17,C1056+E1056)+H1056)</f>
        <v/>
      </c>
      <c r="E1056" s="2" t="str">
        <f>IF(A1056="","",C1056*'Loan Inputs'!$B$15)</f>
        <v/>
      </c>
      <c r="F1056" s="2" t="str">
        <f t="shared" si="48"/>
        <v/>
      </c>
      <c r="G1056" s="2" t="str">
        <f t="shared" si="49"/>
        <v/>
      </c>
      <c r="H1056" s="2" t="str">
        <f>IF(A1056="","",MIN('Loan Inputs'!$B$18,MAX(0,C1056+E1056-'Loan Inputs'!$B$17)))</f>
        <v/>
      </c>
    </row>
    <row r="1057" spans="1:8" ht="22" customHeight="1">
      <c r="A1057" s="1" t="str">
        <f>IF(AND('Loan Inputs'!$B$12,1051&lt;=IF('Loan Inputs'!$B$12,'Loan Inputs'!$B$7,0)*'Loan Inputs'!$B$14+5*'Loan Inputs'!$B$14,ISNUMBER(G1056),G1056&gt;0),1051,"")</f>
        <v/>
      </c>
      <c r="B1057" s="4" t="str">
        <f>IF(A1057="","",IF('Loan Inputs'!$B$14=12,DATE(YEAR('Loan Inputs'!$B$8),MONTH('Loan Inputs'!$B$8)+A1057,DAY('Loan Inputs'!$B$8)),'Loan Inputs'!$B$8+A1057*IF('Loan Inputs'!$B$14=26,14,7)))</f>
        <v/>
      </c>
      <c r="C1057" s="2" t="str">
        <f t="shared" si="50"/>
        <v/>
      </c>
      <c r="D1057" s="2" t="str">
        <f>IF(A1057="","",MIN('Loan Inputs'!$B$17,C1057+E1057)+H1057)</f>
        <v/>
      </c>
      <c r="E1057" s="2" t="str">
        <f>IF(A1057="","",C1057*'Loan Inputs'!$B$15)</f>
        <v/>
      </c>
      <c r="F1057" s="2" t="str">
        <f t="shared" si="48"/>
        <v/>
      </c>
      <c r="G1057" s="2" t="str">
        <f t="shared" si="49"/>
        <v/>
      </c>
      <c r="H1057" s="2" t="str">
        <f>IF(A1057="","",MIN('Loan Inputs'!$B$18,MAX(0,C1057+E1057-'Loan Inputs'!$B$17)))</f>
        <v/>
      </c>
    </row>
    <row r="1058" spans="1:8" ht="22" customHeight="1">
      <c r="A1058" s="1" t="str">
        <f>IF(AND('Loan Inputs'!$B$12,1052&lt;=IF('Loan Inputs'!$B$12,'Loan Inputs'!$B$7,0)*'Loan Inputs'!$B$14+5*'Loan Inputs'!$B$14,ISNUMBER(G1057),G1057&gt;0),1052,"")</f>
        <v/>
      </c>
      <c r="B1058" s="4" t="str">
        <f>IF(A1058="","",IF('Loan Inputs'!$B$14=12,DATE(YEAR('Loan Inputs'!$B$8),MONTH('Loan Inputs'!$B$8)+A1058,DAY('Loan Inputs'!$B$8)),'Loan Inputs'!$B$8+A1058*IF('Loan Inputs'!$B$14=26,14,7)))</f>
        <v/>
      </c>
      <c r="C1058" s="2" t="str">
        <f t="shared" si="50"/>
        <v/>
      </c>
      <c r="D1058" s="2" t="str">
        <f>IF(A1058="","",MIN('Loan Inputs'!$B$17,C1058+E1058)+H1058)</f>
        <v/>
      </c>
      <c r="E1058" s="2" t="str">
        <f>IF(A1058="","",C1058*'Loan Inputs'!$B$15)</f>
        <v/>
      </c>
      <c r="F1058" s="2" t="str">
        <f t="shared" si="48"/>
        <v/>
      </c>
      <c r="G1058" s="2" t="str">
        <f t="shared" si="49"/>
        <v/>
      </c>
      <c r="H1058" s="2" t="str">
        <f>IF(A1058="","",MIN('Loan Inputs'!$B$18,MAX(0,C1058+E1058-'Loan Inputs'!$B$17)))</f>
        <v/>
      </c>
    </row>
    <row r="1059" spans="1:8" ht="22" customHeight="1">
      <c r="A1059" s="1" t="str">
        <f>IF(AND('Loan Inputs'!$B$12,1053&lt;=IF('Loan Inputs'!$B$12,'Loan Inputs'!$B$7,0)*'Loan Inputs'!$B$14+5*'Loan Inputs'!$B$14,ISNUMBER(G1058),G1058&gt;0),1053,"")</f>
        <v/>
      </c>
      <c r="B1059" s="4" t="str">
        <f>IF(A1059="","",IF('Loan Inputs'!$B$14=12,DATE(YEAR('Loan Inputs'!$B$8),MONTH('Loan Inputs'!$B$8)+A1059,DAY('Loan Inputs'!$B$8)),'Loan Inputs'!$B$8+A1059*IF('Loan Inputs'!$B$14=26,14,7)))</f>
        <v/>
      </c>
      <c r="C1059" s="2" t="str">
        <f t="shared" si="50"/>
        <v/>
      </c>
      <c r="D1059" s="2" t="str">
        <f>IF(A1059="","",MIN('Loan Inputs'!$B$17,C1059+E1059)+H1059)</f>
        <v/>
      </c>
      <c r="E1059" s="2" t="str">
        <f>IF(A1059="","",C1059*'Loan Inputs'!$B$15)</f>
        <v/>
      </c>
      <c r="F1059" s="2" t="str">
        <f t="shared" si="48"/>
        <v/>
      </c>
      <c r="G1059" s="2" t="str">
        <f t="shared" si="49"/>
        <v/>
      </c>
      <c r="H1059" s="2" t="str">
        <f>IF(A1059="","",MIN('Loan Inputs'!$B$18,MAX(0,C1059+E1059-'Loan Inputs'!$B$17)))</f>
        <v/>
      </c>
    </row>
    <row r="1060" spans="1:8" ht="22" customHeight="1">
      <c r="A1060" s="1" t="str">
        <f>IF(AND('Loan Inputs'!$B$12,1054&lt;=IF('Loan Inputs'!$B$12,'Loan Inputs'!$B$7,0)*'Loan Inputs'!$B$14+5*'Loan Inputs'!$B$14,ISNUMBER(G1059),G1059&gt;0),1054,"")</f>
        <v/>
      </c>
      <c r="B1060" s="4" t="str">
        <f>IF(A1060="","",IF('Loan Inputs'!$B$14=12,DATE(YEAR('Loan Inputs'!$B$8),MONTH('Loan Inputs'!$B$8)+A1060,DAY('Loan Inputs'!$B$8)),'Loan Inputs'!$B$8+A1060*IF('Loan Inputs'!$B$14=26,14,7)))</f>
        <v/>
      </c>
      <c r="C1060" s="2" t="str">
        <f t="shared" si="50"/>
        <v/>
      </c>
      <c r="D1060" s="2" t="str">
        <f>IF(A1060="","",MIN('Loan Inputs'!$B$17,C1060+E1060)+H1060)</f>
        <v/>
      </c>
      <c r="E1060" s="2" t="str">
        <f>IF(A1060="","",C1060*'Loan Inputs'!$B$15)</f>
        <v/>
      </c>
      <c r="F1060" s="2" t="str">
        <f t="shared" si="48"/>
        <v/>
      </c>
      <c r="G1060" s="2" t="str">
        <f t="shared" si="49"/>
        <v/>
      </c>
      <c r="H1060" s="2" t="str">
        <f>IF(A1060="","",MIN('Loan Inputs'!$B$18,MAX(0,C1060+E1060-'Loan Inputs'!$B$17)))</f>
        <v/>
      </c>
    </row>
    <row r="1061" spans="1:8" ht="22" customHeight="1">
      <c r="A1061" s="1" t="str">
        <f>IF(AND('Loan Inputs'!$B$12,1055&lt;=IF('Loan Inputs'!$B$12,'Loan Inputs'!$B$7,0)*'Loan Inputs'!$B$14+5*'Loan Inputs'!$B$14,ISNUMBER(G1060),G1060&gt;0),1055,"")</f>
        <v/>
      </c>
      <c r="B1061" s="4" t="str">
        <f>IF(A1061="","",IF('Loan Inputs'!$B$14=12,DATE(YEAR('Loan Inputs'!$B$8),MONTH('Loan Inputs'!$B$8)+A1061,DAY('Loan Inputs'!$B$8)),'Loan Inputs'!$B$8+A1061*IF('Loan Inputs'!$B$14=26,14,7)))</f>
        <v/>
      </c>
      <c r="C1061" s="2" t="str">
        <f t="shared" si="50"/>
        <v/>
      </c>
      <c r="D1061" s="2" t="str">
        <f>IF(A1061="","",MIN('Loan Inputs'!$B$17,C1061+E1061)+H1061)</f>
        <v/>
      </c>
      <c r="E1061" s="2" t="str">
        <f>IF(A1061="","",C1061*'Loan Inputs'!$B$15)</f>
        <v/>
      </c>
      <c r="F1061" s="2" t="str">
        <f t="shared" si="48"/>
        <v/>
      </c>
      <c r="G1061" s="2" t="str">
        <f t="shared" si="49"/>
        <v/>
      </c>
      <c r="H1061" s="2" t="str">
        <f>IF(A1061="","",MIN('Loan Inputs'!$B$18,MAX(0,C1061+E1061-'Loan Inputs'!$B$17)))</f>
        <v/>
      </c>
    </row>
    <row r="1062" spans="1:8" ht="22" customHeight="1">
      <c r="A1062" s="1" t="str">
        <f>IF(AND('Loan Inputs'!$B$12,1056&lt;=IF('Loan Inputs'!$B$12,'Loan Inputs'!$B$7,0)*'Loan Inputs'!$B$14+5*'Loan Inputs'!$B$14,ISNUMBER(G1061),G1061&gt;0),1056,"")</f>
        <v/>
      </c>
      <c r="B1062" s="4" t="str">
        <f>IF(A1062="","",IF('Loan Inputs'!$B$14=12,DATE(YEAR('Loan Inputs'!$B$8),MONTH('Loan Inputs'!$B$8)+A1062,DAY('Loan Inputs'!$B$8)),'Loan Inputs'!$B$8+A1062*IF('Loan Inputs'!$B$14=26,14,7)))</f>
        <v/>
      </c>
      <c r="C1062" s="2" t="str">
        <f t="shared" si="50"/>
        <v/>
      </c>
      <c r="D1062" s="2" t="str">
        <f>IF(A1062="","",MIN('Loan Inputs'!$B$17,C1062+E1062)+H1062)</f>
        <v/>
      </c>
      <c r="E1062" s="2" t="str">
        <f>IF(A1062="","",C1062*'Loan Inputs'!$B$15)</f>
        <v/>
      </c>
      <c r="F1062" s="2" t="str">
        <f t="shared" si="48"/>
        <v/>
      </c>
      <c r="G1062" s="2" t="str">
        <f t="shared" si="49"/>
        <v/>
      </c>
      <c r="H1062" s="2" t="str">
        <f>IF(A1062="","",MIN('Loan Inputs'!$B$18,MAX(0,C1062+E1062-'Loan Inputs'!$B$17)))</f>
        <v/>
      </c>
    </row>
    <row r="1063" spans="1:8" ht="22" customHeight="1">
      <c r="A1063" s="1" t="str">
        <f>IF(AND('Loan Inputs'!$B$12,1057&lt;=IF('Loan Inputs'!$B$12,'Loan Inputs'!$B$7,0)*'Loan Inputs'!$B$14+5*'Loan Inputs'!$B$14,ISNUMBER(G1062),G1062&gt;0),1057,"")</f>
        <v/>
      </c>
      <c r="B1063" s="4" t="str">
        <f>IF(A1063="","",IF('Loan Inputs'!$B$14=12,DATE(YEAR('Loan Inputs'!$B$8),MONTH('Loan Inputs'!$B$8)+A1063,DAY('Loan Inputs'!$B$8)),'Loan Inputs'!$B$8+A1063*IF('Loan Inputs'!$B$14=26,14,7)))</f>
        <v/>
      </c>
      <c r="C1063" s="2" t="str">
        <f t="shared" si="50"/>
        <v/>
      </c>
      <c r="D1063" s="2" t="str">
        <f>IF(A1063="","",MIN('Loan Inputs'!$B$17,C1063+E1063)+H1063)</f>
        <v/>
      </c>
      <c r="E1063" s="2" t="str">
        <f>IF(A1063="","",C1063*'Loan Inputs'!$B$15)</f>
        <v/>
      </c>
      <c r="F1063" s="2" t="str">
        <f t="shared" si="48"/>
        <v/>
      </c>
      <c r="G1063" s="2" t="str">
        <f t="shared" si="49"/>
        <v/>
      </c>
      <c r="H1063" s="2" t="str">
        <f>IF(A1063="","",MIN('Loan Inputs'!$B$18,MAX(0,C1063+E1063-'Loan Inputs'!$B$17)))</f>
        <v/>
      </c>
    </row>
    <row r="1064" spans="1:8" ht="22" customHeight="1">
      <c r="A1064" s="1" t="str">
        <f>IF(AND('Loan Inputs'!$B$12,1058&lt;=IF('Loan Inputs'!$B$12,'Loan Inputs'!$B$7,0)*'Loan Inputs'!$B$14+5*'Loan Inputs'!$B$14,ISNUMBER(G1063),G1063&gt;0),1058,"")</f>
        <v/>
      </c>
      <c r="B1064" s="4" t="str">
        <f>IF(A1064="","",IF('Loan Inputs'!$B$14=12,DATE(YEAR('Loan Inputs'!$B$8),MONTH('Loan Inputs'!$B$8)+A1064,DAY('Loan Inputs'!$B$8)),'Loan Inputs'!$B$8+A1064*IF('Loan Inputs'!$B$14=26,14,7)))</f>
        <v/>
      </c>
      <c r="C1064" s="2" t="str">
        <f t="shared" si="50"/>
        <v/>
      </c>
      <c r="D1064" s="2" t="str">
        <f>IF(A1064="","",MIN('Loan Inputs'!$B$17,C1064+E1064)+H1064)</f>
        <v/>
      </c>
      <c r="E1064" s="2" t="str">
        <f>IF(A1064="","",C1064*'Loan Inputs'!$B$15)</f>
        <v/>
      </c>
      <c r="F1064" s="2" t="str">
        <f t="shared" si="48"/>
        <v/>
      </c>
      <c r="G1064" s="2" t="str">
        <f t="shared" si="49"/>
        <v/>
      </c>
      <c r="H1064" s="2" t="str">
        <f>IF(A1064="","",MIN('Loan Inputs'!$B$18,MAX(0,C1064+E1064-'Loan Inputs'!$B$17)))</f>
        <v/>
      </c>
    </row>
    <row r="1065" spans="1:8" ht="22" customHeight="1">
      <c r="A1065" s="1" t="str">
        <f>IF(AND('Loan Inputs'!$B$12,1059&lt;=IF('Loan Inputs'!$B$12,'Loan Inputs'!$B$7,0)*'Loan Inputs'!$B$14+5*'Loan Inputs'!$B$14,ISNUMBER(G1064),G1064&gt;0),1059,"")</f>
        <v/>
      </c>
      <c r="B1065" s="4" t="str">
        <f>IF(A1065="","",IF('Loan Inputs'!$B$14=12,DATE(YEAR('Loan Inputs'!$B$8),MONTH('Loan Inputs'!$B$8)+A1065,DAY('Loan Inputs'!$B$8)),'Loan Inputs'!$B$8+A1065*IF('Loan Inputs'!$B$14=26,14,7)))</f>
        <v/>
      </c>
      <c r="C1065" s="2" t="str">
        <f t="shared" si="50"/>
        <v/>
      </c>
      <c r="D1065" s="2" t="str">
        <f>IF(A1065="","",MIN('Loan Inputs'!$B$17,C1065+E1065)+H1065)</f>
        <v/>
      </c>
      <c r="E1065" s="2" t="str">
        <f>IF(A1065="","",C1065*'Loan Inputs'!$B$15)</f>
        <v/>
      </c>
      <c r="F1065" s="2" t="str">
        <f t="shared" si="48"/>
        <v/>
      </c>
      <c r="G1065" s="2" t="str">
        <f t="shared" si="49"/>
        <v/>
      </c>
      <c r="H1065" s="2" t="str">
        <f>IF(A1065="","",MIN('Loan Inputs'!$B$18,MAX(0,C1065+E1065-'Loan Inputs'!$B$17)))</f>
        <v/>
      </c>
    </row>
    <row r="1066" spans="1:8" ht="22" customHeight="1">
      <c r="A1066" s="1" t="str">
        <f>IF(AND('Loan Inputs'!$B$12,1060&lt;=IF('Loan Inputs'!$B$12,'Loan Inputs'!$B$7,0)*'Loan Inputs'!$B$14+5*'Loan Inputs'!$B$14,ISNUMBER(G1065),G1065&gt;0),1060,"")</f>
        <v/>
      </c>
      <c r="B1066" s="4" t="str">
        <f>IF(A1066="","",IF('Loan Inputs'!$B$14=12,DATE(YEAR('Loan Inputs'!$B$8),MONTH('Loan Inputs'!$B$8)+A1066,DAY('Loan Inputs'!$B$8)),'Loan Inputs'!$B$8+A1066*IF('Loan Inputs'!$B$14=26,14,7)))</f>
        <v/>
      </c>
      <c r="C1066" s="2" t="str">
        <f t="shared" si="50"/>
        <v/>
      </c>
      <c r="D1066" s="2" t="str">
        <f>IF(A1066="","",MIN('Loan Inputs'!$B$17,C1066+E1066)+H1066)</f>
        <v/>
      </c>
      <c r="E1066" s="2" t="str">
        <f>IF(A1066="","",C1066*'Loan Inputs'!$B$15)</f>
        <v/>
      </c>
      <c r="F1066" s="2" t="str">
        <f t="shared" si="48"/>
        <v/>
      </c>
      <c r="G1066" s="2" t="str">
        <f t="shared" si="49"/>
        <v/>
      </c>
      <c r="H1066" s="2" t="str">
        <f>IF(A1066="","",MIN('Loan Inputs'!$B$18,MAX(0,C1066+E1066-'Loan Inputs'!$B$17)))</f>
        <v/>
      </c>
    </row>
    <row r="1067" spans="1:8" ht="22" customHeight="1">
      <c r="A1067" s="1" t="str">
        <f>IF(AND('Loan Inputs'!$B$12,1061&lt;=IF('Loan Inputs'!$B$12,'Loan Inputs'!$B$7,0)*'Loan Inputs'!$B$14+5*'Loan Inputs'!$B$14,ISNUMBER(G1066),G1066&gt;0),1061,"")</f>
        <v/>
      </c>
      <c r="B1067" s="4" t="str">
        <f>IF(A1067="","",IF('Loan Inputs'!$B$14=12,DATE(YEAR('Loan Inputs'!$B$8),MONTH('Loan Inputs'!$B$8)+A1067,DAY('Loan Inputs'!$B$8)),'Loan Inputs'!$B$8+A1067*IF('Loan Inputs'!$B$14=26,14,7)))</f>
        <v/>
      </c>
      <c r="C1067" s="2" t="str">
        <f t="shared" si="50"/>
        <v/>
      </c>
      <c r="D1067" s="2" t="str">
        <f>IF(A1067="","",MIN('Loan Inputs'!$B$17,C1067+E1067)+H1067)</f>
        <v/>
      </c>
      <c r="E1067" s="2" t="str">
        <f>IF(A1067="","",C1067*'Loan Inputs'!$B$15)</f>
        <v/>
      </c>
      <c r="F1067" s="2" t="str">
        <f t="shared" si="48"/>
        <v/>
      </c>
      <c r="G1067" s="2" t="str">
        <f t="shared" si="49"/>
        <v/>
      </c>
      <c r="H1067" s="2" t="str">
        <f>IF(A1067="","",MIN('Loan Inputs'!$B$18,MAX(0,C1067+E1067-'Loan Inputs'!$B$17)))</f>
        <v/>
      </c>
    </row>
    <row r="1068" spans="1:8" ht="22" customHeight="1">
      <c r="A1068" s="1" t="str">
        <f>IF(AND('Loan Inputs'!$B$12,1062&lt;=IF('Loan Inputs'!$B$12,'Loan Inputs'!$B$7,0)*'Loan Inputs'!$B$14+5*'Loan Inputs'!$B$14,ISNUMBER(G1067),G1067&gt;0),1062,"")</f>
        <v/>
      </c>
      <c r="B1068" s="4" t="str">
        <f>IF(A1068="","",IF('Loan Inputs'!$B$14=12,DATE(YEAR('Loan Inputs'!$B$8),MONTH('Loan Inputs'!$B$8)+A1068,DAY('Loan Inputs'!$B$8)),'Loan Inputs'!$B$8+A1068*IF('Loan Inputs'!$B$14=26,14,7)))</f>
        <v/>
      </c>
      <c r="C1068" s="2" t="str">
        <f t="shared" si="50"/>
        <v/>
      </c>
      <c r="D1068" s="2" t="str">
        <f>IF(A1068="","",MIN('Loan Inputs'!$B$17,C1068+E1068)+H1068)</f>
        <v/>
      </c>
      <c r="E1068" s="2" t="str">
        <f>IF(A1068="","",C1068*'Loan Inputs'!$B$15)</f>
        <v/>
      </c>
      <c r="F1068" s="2" t="str">
        <f t="shared" si="48"/>
        <v/>
      </c>
      <c r="G1068" s="2" t="str">
        <f t="shared" si="49"/>
        <v/>
      </c>
      <c r="H1068" s="2" t="str">
        <f>IF(A1068="","",MIN('Loan Inputs'!$B$18,MAX(0,C1068+E1068-'Loan Inputs'!$B$17)))</f>
        <v/>
      </c>
    </row>
    <row r="1069" spans="1:8" ht="22" customHeight="1">
      <c r="A1069" s="1" t="str">
        <f>IF(AND('Loan Inputs'!$B$12,1063&lt;=IF('Loan Inputs'!$B$12,'Loan Inputs'!$B$7,0)*'Loan Inputs'!$B$14+5*'Loan Inputs'!$B$14,ISNUMBER(G1068),G1068&gt;0),1063,"")</f>
        <v/>
      </c>
      <c r="B1069" s="4" t="str">
        <f>IF(A1069="","",IF('Loan Inputs'!$B$14=12,DATE(YEAR('Loan Inputs'!$B$8),MONTH('Loan Inputs'!$B$8)+A1069,DAY('Loan Inputs'!$B$8)),'Loan Inputs'!$B$8+A1069*IF('Loan Inputs'!$B$14=26,14,7)))</f>
        <v/>
      </c>
      <c r="C1069" s="2" t="str">
        <f t="shared" si="50"/>
        <v/>
      </c>
      <c r="D1069" s="2" t="str">
        <f>IF(A1069="","",MIN('Loan Inputs'!$B$17,C1069+E1069)+H1069)</f>
        <v/>
      </c>
      <c r="E1069" s="2" t="str">
        <f>IF(A1069="","",C1069*'Loan Inputs'!$B$15)</f>
        <v/>
      </c>
      <c r="F1069" s="2" t="str">
        <f t="shared" si="48"/>
        <v/>
      </c>
      <c r="G1069" s="2" t="str">
        <f t="shared" si="49"/>
        <v/>
      </c>
      <c r="H1069" s="2" t="str">
        <f>IF(A1069="","",MIN('Loan Inputs'!$B$18,MAX(0,C1069+E1069-'Loan Inputs'!$B$17)))</f>
        <v/>
      </c>
    </row>
    <row r="1070" spans="1:8" ht="22" customHeight="1">
      <c r="A1070" s="1" t="str">
        <f>IF(AND('Loan Inputs'!$B$12,1064&lt;=IF('Loan Inputs'!$B$12,'Loan Inputs'!$B$7,0)*'Loan Inputs'!$B$14+5*'Loan Inputs'!$B$14,ISNUMBER(G1069),G1069&gt;0),1064,"")</f>
        <v/>
      </c>
      <c r="B1070" s="4" t="str">
        <f>IF(A1070="","",IF('Loan Inputs'!$B$14=12,DATE(YEAR('Loan Inputs'!$B$8),MONTH('Loan Inputs'!$B$8)+A1070,DAY('Loan Inputs'!$B$8)),'Loan Inputs'!$B$8+A1070*IF('Loan Inputs'!$B$14=26,14,7)))</f>
        <v/>
      </c>
      <c r="C1070" s="2" t="str">
        <f t="shared" si="50"/>
        <v/>
      </c>
      <c r="D1070" s="2" t="str">
        <f>IF(A1070="","",MIN('Loan Inputs'!$B$17,C1070+E1070)+H1070)</f>
        <v/>
      </c>
      <c r="E1070" s="2" t="str">
        <f>IF(A1070="","",C1070*'Loan Inputs'!$B$15)</f>
        <v/>
      </c>
      <c r="F1070" s="2" t="str">
        <f t="shared" si="48"/>
        <v/>
      </c>
      <c r="G1070" s="2" t="str">
        <f t="shared" si="49"/>
        <v/>
      </c>
      <c r="H1070" s="2" t="str">
        <f>IF(A1070="","",MIN('Loan Inputs'!$B$18,MAX(0,C1070+E1070-'Loan Inputs'!$B$17)))</f>
        <v/>
      </c>
    </row>
    <row r="1071" spans="1:8" ht="22" customHeight="1">
      <c r="A1071" s="1" t="str">
        <f>IF(AND('Loan Inputs'!$B$12,1065&lt;=IF('Loan Inputs'!$B$12,'Loan Inputs'!$B$7,0)*'Loan Inputs'!$B$14+5*'Loan Inputs'!$B$14,ISNUMBER(G1070),G1070&gt;0),1065,"")</f>
        <v/>
      </c>
      <c r="B1071" s="4" t="str">
        <f>IF(A1071="","",IF('Loan Inputs'!$B$14=12,DATE(YEAR('Loan Inputs'!$B$8),MONTH('Loan Inputs'!$B$8)+A1071,DAY('Loan Inputs'!$B$8)),'Loan Inputs'!$B$8+A1071*IF('Loan Inputs'!$B$14=26,14,7)))</f>
        <v/>
      </c>
      <c r="C1071" s="2" t="str">
        <f t="shared" si="50"/>
        <v/>
      </c>
      <c r="D1071" s="2" t="str">
        <f>IF(A1071="","",MIN('Loan Inputs'!$B$17,C1071+E1071)+H1071)</f>
        <v/>
      </c>
      <c r="E1071" s="2" t="str">
        <f>IF(A1071="","",C1071*'Loan Inputs'!$B$15)</f>
        <v/>
      </c>
      <c r="F1071" s="2" t="str">
        <f t="shared" si="48"/>
        <v/>
      </c>
      <c r="G1071" s="2" t="str">
        <f t="shared" si="49"/>
        <v/>
      </c>
      <c r="H1071" s="2" t="str">
        <f>IF(A1071="","",MIN('Loan Inputs'!$B$18,MAX(0,C1071+E1071-'Loan Inputs'!$B$17)))</f>
        <v/>
      </c>
    </row>
    <row r="1072" spans="1:8" ht="22" customHeight="1">
      <c r="A1072" s="1" t="str">
        <f>IF(AND('Loan Inputs'!$B$12,1066&lt;=IF('Loan Inputs'!$B$12,'Loan Inputs'!$B$7,0)*'Loan Inputs'!$B$14+5*'Loan Inputs'!$B$14,ISNUMBER(G1071),G1071&gt;0),1066,"")</f>
        <v/>
      </c>
      <c r="B1072" s="4" t="str">
        <f>IF(A1072="","",IF('Loan Inputs'!$B$14=12,DATE(YEAR('Loan Inputs'!$B$8),MONTH('Loan Inputs'!$B$8)+A1072,DAY('Loan Inputs'!$B$8)),'Loan Inputs'!$B$8+A1072*IF('Loan Inputs'!$B$14=26,14,7)))</f>
        <v/>
      </c>
      <c r="C1072" s="2" t="str">
        <f t="shared" si="50"/>
        <v/>
      </c>
      <c r="D1072" s="2" t="str">
        <f>IF(A1072="","",MIN('Loan Inputs'!$B$17,C1072+E1072)+H1072)</f>
        <v/>
      </c>
      <c r="E1072" s="2" t="str">
        <f>IF(A1072="","",C1072*'Loan Inputs'!$B$15)</f>
        <v/>
      </c>
      <c r="F1072" s="2" t="str">
        <f t="shared" si="48"/>
        <v/>
      </c>
      <c r="G1072" s="2" t="str">
        <f t="shared" si="49"/>
        <v/>
      </c>
      <c r="H1072" s="2" t="str">
        <f>IF(A1072="","",MIN('Loan Inputs'!$B$18,MAX(0,C1072+E1072-'Loan Inputs'!$B$17)))</f>
        <v/>
      </c>
    </row>
    <row r="1073" spans="1:8" ht="22" customHeight="1">
      <c r="A1073" s="1" t="str">
        <f>IF(AND('Loan Inputs'!$B$12,1067&lt;=IF('Loan Inputs'!$B$12,'Loan Inputs'!$B$7,0)*'Loan Inputs'!$B$14+5*'Loan Inputs'!$B$14,ISNUMBER(G1072),G1072&gt;0),1067,"")</f>
        <v/>
      </c>
      <c r="B1073" s="4" t="str">
        <f>IF(A1073="","",IF('Loan Inputs'!$B$14=12,DATE(YEAR('Loan Inputs'!$B$8),MONTH('Loan Inputs'!$B$8)+A1073,DAY('Loan Inputs'!$B$8)),'Loan Inputs'!$B$8+A1073*IF('Loan Inputs'!$B$14=26,14,7)))</f>
        <v/>
      </c>
      <c r="C1073" s="2" t="str">
        <f t="shared" si="50"/>
        <v/>
      </c>
      <c r="D1073" s="2" t="str">
        <f>IF(A1073="","",MIN('Loan Inputs'!$B$17,C1073+E1073)+H1073)</f>
        <v/>
      </c>
      <c r="E1073" s="2" t="str">
        <f>IF(A1073="","",C1073*'Loan Inputs'!$B$15)</f>
        <v/>
      </c>
      <c r="F1073" s="2" t="str">
        <f t="shared" si="48"/>
        <v/>
      </c>
      <c r="G1073" s="2" t="str">
        <f t="shared" si="49"/>
        <v/>
      </c>
      <c r="H1073" s="2" t="str">
        <f>IF(A1073="","",MIN('Loan Inputs'!$B$18,MAX(0,C1073+E1073-'Loan Inputs'!$B$17)))</f>
        <v/>
      </c>
    </row>
    <row r="1074" spans="1:8" ht="22" customHeight="1">
      <c r="A1074" s="1" t="str">
        <f>IF(AND('Loan Inputs'!$B$12,1068&lt;=IF('Loan Inputs'!$B$12,'Loan Inputs'!$B$7,0)*'Loan Inputs'!$B$14+5*'Loan Inputs'!$B$14,ISNUMBER(G1073),G1073&gt;0),1068,"")</f>
        <v/>
      </c>
      <c r="B1074" s="4" t="str">
        <f>IF(A1074="","",IF('Loan Inputs'!$B$14=12,DATE(YEAR('Loan Inputs'!$B$8),MONTH('Loan Inputs'!$B$8)+A1074,DAY('Loan Inputs'!$B$8)),'Loan Inputs'!$B$8+A1074*IF('Loan Inputs'!$B$14=26,14,7)))</f>
        <v/>
      </c>
      <c r="C1074" s="2" t="str">
        <f t="shared" si="50"/>
        <v/>
      </c>
      <c r="D1074" s="2" t="str">
        <f>IF(A1074="","",MIN('Loan Inputs'!$B$17,C1074+E1074)+H1074)</f>
        <v/>
      </c>
      <c r="E1074" s="2" t="str">
        <f>IF(A1074="","",C1074*'Loan Inputs'!$B$15)</f>
        <v/>
      </c>
      <c r="F1074" s="2" t="str">
        <f t="shared" si="48"/>
        <v/>
      </c>
      <c r="G1074" s="2" t="str">
        <f t="shared" si="49"/>
        <v/>
      </c>
      <c r="H1074" s="2" t="str">
        <f>IF(A1074="","",MIN('Loan Inputs'!$B$18,MAX(0,C1074+E1074-'Loan Inputs'!$B$17)))</f>
        <v/>
      </c>
    </row>
    <row r="1075" spans="1:8" ht="22" customHeight="1">
      <c r="A1075" s="1" t="str">
        <f>IF(AND('Loan Inputs'!$B$12,1069&lt;=IF('Loan Inputs'!$B$12,'Loan Inputs'!$B$7,0)*'Loan Inputs'!$B$14+5*'Loan Inputs'!$B$14,ISNUMBER(G1074),G1074&gt;0),1069,"")</f>
        <v/>
      </c>
      <c r="B1075" s="4" t="str">
        <f>IF(A1075="","",IF('Loan Inputs'!$B$14=12,DATE(YEAR('Loan Inputs'!$B$8),MONTH('Loan Inputs'!$B$8)+A1075,DAY('Loan Inputs'!$B$8)),'Loan Inputs'!$B$8+A1075*IF('Loan Inputs'!$B$14=26,14,7)))</f>
        <v/>
      </c>
      <c r="C1075" s="2" t="str">
        <f t="shared" si="50"/>
        <v/>
      </c>
      <c r="D1075" s="2" t="str">
        <f>IF(A1075="","",MIN('Loan Inputs'!$B$17,C1075+E1075)+H1075)</f>
        <v/>
      </c>
      <c r="E1075" s="2" t="str">
        <f>IF(A1075="","",C1075*'Loan Inputs'!$B$15)</f>
        <v/>
      </c>
      <c r="F1075" s="2" t="str">
        <f t="shared" si="48"/>
        <v/>
      </c>
      <c r="G1075" s="2" t="str">
        <f t="shared" si="49"/>
        <v/>
      </c>
      <c r="H1075" s="2" t="str">
        <f>IF(A1075="","",MIN('Loan Inputs'!$B$18,MAX(0,C1075+E1075-'Loan Inputs'!$B$17)))</f>
        <v/>
      </c>
    </row>
    <row r="1076" spans="1:8" ht="22" customHeight="1">
      <c r="A1076" s="1" t="str">
        <f>IF(AND('Loan Inputs'!$B$12,1070&lt;=IF('Loan Inputs'!$B$12,'Loan Inputs'!$B$7,0)*'Loan Inputs'!$B$14+5*'Loan Inputs'!$B$14,ISNUMBER(G1075),G1075&gt;0),1070,"")</f>
        <v/>
      </c>
      <c r="B1076" s="4" t="str">
        <f>IF(A1076="","",IF('Loan Inputs'!$B$14=12,DATE(YEAR('Loan Inputs'!$B$8),MONTH('Loan Inputs'!$B$8)+A1076,DAY('Loan Inputs'!$B$8)),'Loan Inputs'!$B$8+A1076*IF('Loan Inputs'!$B$14=26,14,7)))</f>
        <v/>
      </c>
      <c r="C1076" s="2" t="str">
        <f t="shared" si="50"/>
        <v/>
      </c>
      <c r="D1076" s="2" t="str">
        <f>IF(A1076="","",MIN('Loan Inputs'!$B$17,C1076+E1076)+H1076)</f>
        <v/>
      </c>
      <c r="E1076" s="2" t="str">
        <f>IF(A1076="","",C1076*'Loan Inputs'!$B$15)</f>
        <v/>
      </c>
      <c r="F1076" s="2" t="str">
        <f t="shared" si="48"/>
        <v/>
      </c>
      <c r="G1076" s="2" t="str">
        <f t="shared" si="49"/>
        <v/>
      </c>
      <c r="H1076" s="2" t="str">
        <f>IF(A1076="","",MIN('Loan Inputs'!$B$18,MAX(0,C1076+E1076-'Loan Inputs'!$B$17)))</f>
        <v/>
      </c>
    </row>
    <row r="1077" spans="1:8" ht="22" customHeight="1">
      <c r="A1077" s="1" t="str">
        <f>IF(AND('Loan Inputs'!$B$12,1071&lt;=IF('Loan Inputs'!$B$12,'Loan Inputs'!$B$7,0)*'Loan Inputs'!$B$14+5*'Loan Inputs'!$B$14,ISNUMBER(G1076),G1076&gt;0),1071,"")</f>
        <v/>
      </c>
      <c r="B1077" s="4" t="str">
        <f>IF(A1077="","",IF('Loan Inputs'!$B$14=12,DATE(YEAR('Loan Inputs'!$B$8),MONTH('Loan Inputs'!$B$8)+A1077,DAY('Loan Inputs'!$B$8)),'Loan Inputs'!$B$8+A1077*IF('Loan Inputs'!$B$14=26,14,7)))</f>
        <v/>
      </c>
      <c r="C1077" s="2" t="str">
        <f t="shared" si="50"/>
        <v/>
      </c>
      <c r="D1077" s="2" t="str">
        <f>IF(A1077="","",MIN('Loan Inputs'!$B$17,C1077+E1077)+H1077)</f>
        <v/>
      </c>
      <c r="E1077" s="2" t="str">
        <f>IF(A1077="","",C1077*'Loan Inputs'!$B$15)</f>
        <v/>
      </c>
      <c r="F1077" s="2" t="str">
        <f t="shared" si="48"/>
        <v/>
      </c>
      <c r="G1077" s="2" t="str">
        <f t="shared" si="49"/>
        <v/>
      </c>
      <c r="H1077" s="2" t="str">
        <f>IF(A1077="","",MIN('Loan Inputs'!$B$18,MAX(0,C1077+E1077-'Loan Inputs'!$B$17)))</f>
        <v/>
      </c>
    </row>
    <row r="1078" spans="1:8" ht="22" customHeight="1">
      <c r="A1078" s="1" t="str">
        <f>IF(AND('Loan Inputs'!$B$12,1072&lt;=IF('Loan Inputs'!$B$12,'Loan Inputs'!$B$7,0)*'Loan Inputs'!$B$14+5*'Loan Inputs'!$B$14,ISNUMBER(G1077),G1077&gt;0),1072,"")</f>
        <v/>
      </c>
      <c r="B1078" s="4" t="str">
        <f>IF(A1078="","",IF('Loan Inputs'!$B$14=12,DATE(YEAR('Loan Inputs'!$B$8),MONTH('Loan Inputs'!$B$8)+A1078,DAY('Loan Inputs'!$B$8)),'Loan Inputs'!$B$8+A1078*IF('Loan Inputs'!$B$14=26,14,7)))</f>
        <v/>
      </c>
      <c r="C1078" s="2" t="str">
        <f t="shared" si="50"/>
        <v/>
      </c>
      <c r="D1078" s="2" t="str">
        <f>IF(A1078="","",MIN('Loan Inputs'!$B$17,C1078+E1078)+H1078)</f>
        <v/>
      </c>
      <c r="E1078" s="2" t="str">
        <f>IF(A1078="","",C1078*'Loan Inputs'!$B$15)</f>
        <v/>
      </c>
      <c r="F1078" s="2" t="str">
        <f t="shared" si="48"/>
        <v/>
      </c>
      <c r="G1078" s="2" t="str">
        <f t="shared" si="49"/>
        <v/>
      </c>
      <c r="H1078" s="2" t="str">
        <f>IF(A1078="","",MIN('Loan Inputs'!$B$18,MAX(0,C1078+E1078-'Loan Inputs'!$B$17)))</f>
        <v/>
      </c>
    </row>
    <row r="1079" spans="1:8" ht="22" customHeight="1">
      <c r="A1079" s="1" t="str">
        <f>IF(AND('Loan Inputs'!$B$12,1073&lt;=IF('Loan Inputs'!$B$12,'Loan Inputs'!$B$7,0)*'Loan Inputs'!$B$14+5*'Loan Inputs'!$B$14,ISNUMBER(G1078),G1078&gt;0),1073,"")</f>
        <v/>
      </c>
      <c r="B1079" s="4" t="str">
        <f>IF(A1079="","",IF('Loan Inputs'!$B$14=12,DATE(YEAR('Loan Inputs'!$B$8),MONTH('Loan Inputs'!$B$8)+A1079,DAY('Loan Inputs'!$B$8)),'Loan Inputs'!$B$8+A1079*IF('Loan Inputs'!$B$14=26,14,7)))</f>
        <v/>
      </c>
      <c r="C1079" s="2" t="str">
        <f t="shared" si="50"/>
        <v/>
      </c>
      <c r="D1079" s="2" t="str">
        <f>IF(A1079="","",MIN('Loan Inputs'!$B$17,C1079+E1079)+H1079)</f>
        <v/>
      </c>
      <c r="E1079" s="2" t="str">
        <f>IF(A1079="","",C1079*'Loan Inputs'!$B$15)</f>
        <v/>
      </c>
      <c r="F1079" s="2" t="str">
        <f t="shared" si="48"/>
        <v/>
      </c>
      <c r="G1079" s="2" t="str">
        <f t="shared" si="49"/>
        <v/>
      </c>
      <c r="H1079" s="2" t="str">
        <f>IF(A1079="","",MIN('Loan Inputs'!$B$18,MAX(0,C1079+E1079-'Loan Inputs'!$B$17)))</f>
        <v/>
      </c>
    </row>
    <row r="1080" spans="1:8" ht="22" customHeight="1">
      <c r="A1080" s="1" t="str">
        <f>IF(AND('Loan Inputs'!$B$12,1074&lt;=IF('Loan Inputs'!$B$12,'Loan Inputs'!$B$7,0)*'Loan Inputs'!$B$14+5*'Loan Inputs'!$B$14,ISNUMBER(G1079),G1079&gt;0),1074,"")</f>
        <v/>
      </c>
      <c r="B1080" s="4" t="str">
        <f>IF(A1080="","",IF('Loan Inputs'!$B$14=12,DATE(YEAR('Loan Inputs'!$B$8),MONTH('Loan Inputs'!$B$8)+A1080,DAY('Loan Inputs'!$B$8)),'Loan Inputs'!$B$8+A1080*IF('Loan Inputs'!$B$14=26,14,7)))</f>
        <v/>
      </c>
      <c r="C1080" s="2" t="str">
        <f t="shared" si="50"/>
        <v/>
      </c>
      <c r="D1080" s="2" t="str">
        <f>IF(A1080="","",MIN('Loan Inputs'!$B$17,C1080+E1080)+H1080)</f>
        <v/>
      </c>
      <c r="E1080" s="2" t="str">
        <f>IF(A1080="","",C1080*'Loan Inputs'!$B$15)</f>
        <v/>
      </c>
      <c r="F1080" s="2" t="str">
        <f t="shared" si="48"/>
        <v/>
      </c>
      <c r="G1080" s="2" t="str">
        <f t="shared" si="49"/>
        <v/>
      </c>
      <c r="H1080" s="2" t="str">
        <f>IF(A1080="","",MIN('Loan Inputs'!$B$18,MAX(0,C1080+E1080-'Loan Inputs'!$B$17)))</f>
        <v/>
      </c>
    </row>
    <row r="1081" spans="1:8" ht="22" customHeight="1">
      <c r="A1081" s="1" t="str">
        <f>IF(AND('Loan Inputs'!$B$12,1075&lt;=IF('Loan Inputs'!$B$12,'Loan Inputs'!$B$7,0)*'Loan Inputs'!$B$14+5*'Loan Inputs'!$B$14,ISNUMBER(G1080),G1080&gt;0),1075,"")</f>
        <v/>
      </c>
      <c r="B1081" s="4" t="str">
        <f>IF(A1081="","",IF('Loan Inputs'!$B$14=12,DATE(YEAR('Loan Inputs'!$B$8),MONTH('Loan Inputs'!$B$8)+A1081,DAY('Loan Inputs'!$B$8)),'Loan Inputs'!$B$8+A1081*IF('Loan Inputs'!$B$14=26,14,7)))</f>
        <v/>
      </c>
      <c r="C1081" s="2" t="str">
        <f t="shared" si="50"/>
        <v/>
      </c>
      <c r="D1081" s="2" t="str">
        <f>IF(A1081="","",MIN('Loan Inputs'!$B$17,C1081+E1081)+H1081)</f>
        <v/>
      </c>
      <c r="E1081" s="2" t="str">
        <f>IF(A1081="","",C1081*'Loan Inputs'!$B$15)</f>
        <v/>
      </c>
      <c r="F1081" s="2" t="str">
        <f t="shared" si="48"/>
        <v/>
      </c>
      <c r="G1081" s="2" t="str">
        <f t="shared" si="49"/>
        <v/>
      </c>
      <c r="H1081" s="2" t="str">
        <f>IF(A1081="","",MIN('Loan Inputs'!$B$18,MAX(0,C1081+E1081-'Loan Inputs'!$B$17)))</f>
        <v/>
      </c>
    </row>
    <row r="1082" spans="1:8" ht="22" customHeight="1">
      <c r="A1082" s="1" t="str">
        <f>IF(AND('Loan Inputs'!$B$12,1076&lt;=IF('Loan Inputs'!$B$12,'Loan Inputs'!$B$7,0)*'Loan Inputs'!$B$14+5*'Loan Inputs'!$B$14,ISNUMBER(G1081),G1081&gt;0),1076,"")</f>
        <v/>
      </c>
      <c r="B1082" s="4" t="str">
        <f>IF(A1082="","",IF('Loan Inputs'!$B$14=12,DATE(YEAR('Loan Inputs'!$B$8),MONTH('Loan Inputs'!$B$8)+A1082,DAY('Loan Inputs'!$B$8)),'Loan Inputs'!$B$8+A1082*IF('Loan Inputs'!$B$14=26,14,7)))</f>
        <v/>
      </c>
      <c r="C1082" s="2" t="str">
        <f t="shared" si="50"/>
        <v/>
      </c>
      <c r="D1082" s="2" t="str">
        <f>IF(A1082="","",MIN('Loan Inputs'!$B$17,C1082+E1082)+H1082)</f>
        <v/>
      </c>
      <c r="E1082" s="2" t="str">
        <f>IF(A1082="","",C1082*'Loan Inputs'!$B$15)</f>
        <v/>
      </c>
      <c r="F1082" s="2" t="str">
        <f t="shared" si="48"/>
        <v/>
      </c>
      <c r="G1082" s="2" t="str">
        <f t="shared" si="49"/>
        <v/>
      </c>
      <c r="H1082" s="2" t="str">
        <f>IF(A1082="","",MIN('Loan Inputs'!$B$18,MAX(0,C1082+E1082-'Loan Inputs'!$B$17)))</f>
        <v/>
      </c>
    </row>
    <row r="1083" spans="1:8" ht="22" customHeight="1">
      <c r="A1083" s="1" t="str">
        <f>IF(AND('Loan Inputs'!$B$12,1077&lt;=IF('Loan Inputs'!$B$12,'Loan Inputs'!$B$7,0)*'Loan Inputs'!$B$14+5*'Loan Inputs'!$B$14,ISNUMBER(G1082),G1082&gt;0),1077,"")</f>
        <v/>
      </c>
      <c r="B1083" s="4" t="str">
        <f>IF(A1083="","",IF('Loan Inputs'!$B$14=12,DATE(YEAR('Loan Inputs'!$B$8),MONTH('Loan Inputs'!$B$8)+A1083,DAY('Loan Inputs'!$B$8)),'Loan Inputs'!$B$8+A1083*IF('Loan Inputs'!$B$14=26,14,7)))</f>
        <v/>
      </c>
      <c r="C1083" s="2" t="str">
        <f t="shared" si="50"/>
        <v/>
      </c>
      <c r="D1083" s="2" t="str">
        <f>IF(A1083="","",MIN('Loan Inputs'!$B$17,C1083+E1083)+H1083)</f>
        <v/>
      </c>
      <c r="E1083" s="2" t="str">
        <f>IF(A1083="","",C1083*'Loan Inputs'!$B$15)</f>
        <v/>
      </c>
      <c r="F1083" s="2" t="str">
        <f t="shared" si="48"/>
        <v/>
      </c>
      <c r="G1083" s="2" t="str">
        <f t="shared" si="49"/>
        <v/>
      </c>
      <c r="H1083" s="2" t="str">
        <f>IF(A1083="","",MIN('Loan Inputs'!$B$18,MAX(0,C1083+E1083-'Loan Inputs'!$B$17)))</f>
        <v/>
      </c>
    </row>
    <row r="1084" spans="1:8" ht="22" customHeight="1">
      <c r="A1084" s="1" t="str">
        <f>IF(AND('Loan Inputs'!$B$12,1078&lt;=IF('Loan Inputs'!$B$12,'Loan Inputs'!$B$7,0)*'Loan Inputs'!$B$14+5*'Loan Inputs'!$B$14,ISNUMBER(G1083),G1083&gt;0),1078,"")</f>
        <v/>
      </c>
      <c r="B1084" s="4" t="str">
        <f>IF(A1084="","",IF('Loan Inputs'!$B$14=12,DATE(YEAR('Loan Inputs'!$B$8),MONTH('Loan Inputs'!$B$8)+A1084,DAY('Loan Inputs'!$B$8)),'Loan Inputs'!$B$8+A1084*IF('Loan Inputs'!$B$14=26,14,7)))</f>
        <v/>
      </c>
      <c r="C1084" s="2" t="str">
        <f t="shared" si="50"/>
        <v/>
      </c>
      <c r="D1084" s="2" t="str">
        <f>IF(A1084="","",MIN('Loan Inputs'!$B$17,C1084+E1084)+H1084)</f>
        <v/>
      </c>
      <c r="E1084" s="2" t="str">
        <f>IF(A1084="","",C1084*'Loan Inputs'!$B$15)</f>
        <v/>
      </c>
      <c r="F1084" s="2" t="str">
        <f t="shared" si="48"/>
        <v/>
      </c>
      <c r="G1084" s="2" t="str">
        <f t="shared" si="49"/>
        <v/>
      </c>
      <c r="H1084" s="2" t="str">
        <f>IF(A1084="","",MIN('Loan Inputs'!$B$18,MAX(0,C1084+E1084-'Loan Inputs'!$B$17)))</f>
        <v/>
      </c>
    </row>
    <row r="1085" spans="1:8" ht="22" customHeight="1">
      <c r="A1085" s="1" t="str">
        <f>IF(AND('Loan Inputs'!$B$12,1079&lt;=IF('Loan Inputs'!$B$12,'Loan Inputs'!$B$7,0)*'Loan Inputs'!$B$14+5*'Loan Inputs'!$B$14,ISNUMBER(G1084),G1084&gt;0),1079,"")</f>
        <v/>
      </c>
      <c r="B1085" s="4" t="str">
        <f>IF(A1085="","",IF('Loan Inputs'!$B$14=12,DATE(YEAR('Loan Inputs'!$B$8),MONTH('Loan Inputs'!$B$8)+A1085,DAY('Loan Inputs'!$B$8)),'Loan Inputs'!$B$8+A1085*IF('Loan Inputs'!$B$14=26,14,7)))</f>
        <v/>
      </c>
      <c r="C1085" s="2" t="str">
        <f t="shared" si="50"/>
        <v/>
      </c>
      <c r="D1085" s="2" t="str">
        <f>IF(A1085="","",MIN('Loan Inputs'!$B$17,C1085+E1085)+H1085)</f>
        <v/>
      </c>
      <c r="E1085" s="2" t="str">
        <f>IF(A1085="","",C1085*'Loan Inputs'!$B$15)</f>
        <v/>
      </c>
      <c r="F1085" s="2" t="str">
        <f t="shared" si="48"/>
        <v/>
      </c>
      <c r="G1085" s="2" t="str">
        <f t="shared" si="49"/>
        <v/>
      </c>
      <c r="H1085" s="2" t="str">
        <f>IF(A1085="","",MIN('Loan Inputs'!$B$18,MAX(0,C1085+E1085-'Loan Inputs'!$B$17)))</f>
        <v/>
      </c>
    </row>
    <row r="1086" spans="1:8" ht="22" customHeight="1">
      <c r="A1086" s="1" t="str">
        <f>IF(AND('Loan Inputs'!$B$12,1080&lt;=IF('Loan Inputs'!$B$12,'Loan Inputs'!$B$7,0)*'Loan Inputs'!$B$14+5*'Loan Inputs'!$B$14,ISNUMBER(G1085),G1085&gt;0),1080,"")</f>
        <v/>
      </c>
      <c r="B1086" s="4" t="str">
        <f>IF(A1086="","",IF('Loan Inputs'!$B$14=12,DATE(YEAR('Loan Inputs'!$B$8),MONTH('Loan Inputs'!$B$8)+A1086,DAY('Loan Inputs'!$B$8)),'Loan Inputs'!$B$8+A1086*IF('Loan Inputs'!$B$14=26,14,7)))</f>
        <v/>
      </c>
      <c r="C1086" s="2" t="str">
        <f t="shared" si="50"/>
        <v/>
      </c>
      <c r="D1086" s="2" t="str">
        <f>IF(A1086="","",MIN('Loan Inputs'!$B$17,C1086+E1086)+H1086)</f>
        <v/>
      </c>
      <c r="E1086" s="2" t="str">
        <f>IF(A1086="","",C1086*'Loan Inputs'!$B$15)</f>
        <v/>
      </c>
      <c r="F1086" s="2" t="str">
        <f t="shared" si="48"/>
        <v/>
      </c>
      <c r="G1086" s="2" t="str">
        <f t="shared" si="49"/>
        <v/>
      </c>
      <c r="H1086" s="2" t="str">
        <f>IF(A1086="","",MIN('Loan Inputs'!$B$18,MAX(0,C1086+E1086-'Loan Inputs'!$B$17)))</f>
        <v/>
      </c>
    </row>
    <row r="1087" spans="1:8" ht="22" customHeight="1">
      <c r="A1087" s="1" t="str">
        <f>IF(AND('Loan Inputs'!$B$12,1081&lt;=IF('Loan Inputs'!$B$12,'Loan Inputs'!$B$7,0)*'Loan Inputs'!$B$14+5*'Loan Inputs'!$B$14,ISNUMBER(G1086),G1086&gt;0),1081,"")</f>
        <v/>
      </c>
      <c r="B1087" s="4" t="str">
        <f>IF(A1087="","",IF('Loan Inputs'!$B$14=12,DATE(YEAR('Loan Inputs'!$B$8),MONTH('Loan Inputs'!$B$8)+A1087,DAY('Loan Inputs'!$B$8)),'Loan Inputs'!$B$8+A1087*IF('Loan Inputs'!$B$14=26,14,7)))</f>
        <v/>
      </c>
      <c r="C1087" s="2" t="str">
        <f t="shared" si="50"/>
        <v/>
      </c>
      <c r="D1087" s="2" t="str">
        <f>IF(A1087="","",MIN('Loan Inputs'!$B$17,C1087+E1087)+H1087)</f>
        <v/>
      </c>
      <c r="E1087" s="2" t="str">
        <f>IF(A1087="","",C1087*'Loan Inputs'!$B$15)</f>
        <v/>
      </c>
      <c r="F1087" s="2" t="str">
        <f t="shared" si="48"/>
        <v/>
      </c>
      <c r="G1087" s="2" t="str">
        <f t="shared" si="49"/>
        <v/>
      </c>
      <c r="H1087" s="2" t="str">
        <f>IF(A1087="","",MIN('Loan Inputs'!$B$18,MAX(0,C1087+E1087-'Loan Inputs'!$B$17)))</f>
        <v/>
      </c>
    </row>
    <row r="1088" spans="1:8" ht="22" customHeight="1">
      <c r="A1088" s="1" t="str">
        <f>IF(AND('Loan Inputs'!$B$12,1082&lt;=IF('Loan Inputs'!$B$12,'Loan Inputs'!$B$7,0)*'Loan Inputs'!$B$14+5*'Loan Inputs'!$B$14,ISNUMBER(G1087),G1087&gt;0),1082,"")</f>
        <v/>
      </c>
      <c r="B1088" s="4" t="str">
        <f>IF(A1088="","",IF('Loan Inputs'!$B$14=12,DATE(YEAR('Loan Inputs'!$B$8),MONTH('Loan Inputs'!$B$8)+A1088,DAY('Loan Inputs'!$B$8)),'Loan Inputs'!$B$8+A1088*IF('Loan Inputs'!$B$14=26,14,7)))</f>
        <v/>
      </c>
      <c r="C1088" s="2" t="str">
        <f t="shared" si="50"/>
        <v/>
      </c>
      <c r="D1088" s="2" t="str">
        <f>IF(A1088="","",MIN('Loan Inputs'!$B$17,C1088+E1088)+H1088)</f>
        <v/>
      </c>
      <c r="E1088" s="2" t="str">
        <f>IF(A1088="","",C1088*'Loan Inputs'!$B$15)</f>
        <v/>
      </c>
      <c r="F1088" s="2" t="str">
        <f t="shared" si="48"/>
        <v/>
      </c>
      <c r="G1088" s="2" t="str">
        <f t="shared" si="49"/>
        <v/>
      </c>
      <c r="H1088" s="2" t="str">
        <f>IF(A1088="","",MIN('Loan Inputs'!$B$18,MAX(0,C1088+E1088-'Loan Inputs'!$B$17)))</f>
        <v/>
      </c>
    </row>
    <row r="1089" spans="1:8" ht="22" customHeight="1">
      <c r="A1089" s="1" t="str">
        <f>IF(AND('Loan Inputs'!$B$12,1083&lt;=IF('Loan Inputs'!$B$12,'Loan Inputs'!$B$7,0)*'Loan Inputs'!$B$14+5*'Loan Inputs'!$B$14,ISNUMBER(G1088),G1088&gt;0),1083,"")</f>
        <v/>
      </c>
      <c r="B1089" s="4" t="str">
        <f>IF(A1089="","",IF('Loan Inputs'!$B$14=12,DATE(YEAR('Loan Inputs'!$B$8),MONTH('Loan Inputs'!$B$8)+A1089,DAY('Loan Inputs'!$B$8)),'Loan Inputs'!$B$8+A1089*IF('Loan Inputs'!$B$14=26,14,7)))</f>
        <v/>
      </c>
      <c r="C1089" s="2" t="str">
        <f t="shared" si="50"/>
        <v/>
      </c>
      <c r="D1089" s="2" t="str">
        <f>IF(A1089="","",MIN('Loan Inputs'!$B$17,C1089+E1089)+H1089)</f>
        <v/>
      </c>
      <c r="E1089" s="2" t="str">
        <f>IF(A1089="","",C1089*'Loan Inputs'!$B$15)</f>
        <v/>
      </c>
      <c r="F1089" s="2" t="str">
        <f t="shared" si="48"/>
        <v/>
      </c>
      <c r="G1089" s="2" t="str">
        <f t="shared" si="49"/>
        <v/>
      </c>
      <c r="H1089" s="2" t="str">
        <f>IF(A1089="","",MIN('Loan Inputs'!$B$18,MAX(0,C1089+E1089-'Loan Inputs'!$B$17)))</f>
        <v/>
      </c>
    </row>
    <row r="1090" spans="1:8" ht="22" customHeight="1">
      <c r="A1090" s="1" t="str">
        <f>IF(AND('Loan Inputs'!$B$12,1084&lt;=IF('Loan Inputs'!$B$12,'Loan Inputs'!$B$7,0)*'Loan Inputs'!$B$14+5*'Loan Inputs'!$B$14,ISNUMBER(G1089),G1089&gt;0),1084,"")</f>
        <v/>
      </c>
      <c r="B1090" s="4" t="str">
        <f>IF(A1090="","",IF('Loan Inputs'!$B$14=12,DATE(YEAR('Loan Inputs'!$B$8),MONTH('Loan Inputs'!$B$8)+A1090,DAY('Loan Inputs'!$B$8)),'Loan Inputs'!$B$8+A1090*IF('Loan Inputs'!$B$14=26,14,7)))</f>
        <v/>
      </c>
      <c r="C1090" s="2" t="str">
        <f t="shared" si="50"/>
        <v/>
      </c>
      <c r="D1090" s="2" t="str">
        <f>IF(A1090="","",MIN('Loan Inputs'!$B$17,C1090+E1090)+H1090)</f>
        <v/>
      </c>
      <c r="E1090" s="2" t="str">
        <f>IF(A1090="","",C1090*'Loan Inputs'!$B$15)</f>
        <v/>
      </c>
      <c r="F1090" s="2" t="str">
        <f t="shared" si="48"/>
        <v/>
      </c>
      <c r="G1090" s="2" t="str">
        <f t="shared" si="49"/>
        <v/>
      </c>
      <c r="H1090" s="2" t="str">
        <f>IF(A1090="","",MIN('Loan Inputs'!$B$18,MAX(0,C1090+E1090-'Loan Inputs'!$B$17)))</f>
        <v/>
      </c>
    </row>
    <row r="1091" spans="1:8" ht="22" customHeight="1">
      <c r="A1091" s="1" t="str">
        <f>IF(AND('Loan Inputs'!$B$12,1085&lt;=IF('Loan Inputs'!$B$12,'Loan Inputs'!$B$7,0)*'Loan Inputs'!$B$14+5*'Loan Inputs'!$B$14,ISNUMBER(G1090),G1090&gt;0),1085,"")</f>
        <v/>
      </c>
      <c r="B1091" s="4" t="str">
        <f>IF(A1091="","",IF('Loan Inputs'!$B$14=12,DATE(YEAR('Loan Inputs'!$B$8),MONTH('Loan Inputs'!$B$8)+A1091,DAY('Loan Inputs'!$B$8)),'Loan Inputs'!$B$8+A1091*IF('Loan Inputs'!$B$14=26,14,7)))</f>
        <v/>
      </c>
      <c r="C1091" s="2" t="str">
        <f t="shared" si="50"/>
        <v/>
      </c>
      <c r="D1091" s="2" t="str">
        <f>IF(A1091="","",MIN('Loan Inputs'!$B$17,C1091+E1091)+H1091)</f>
        <v/>
      </c>
      <c r="E1091" s="2" t="str">
        <f>IF(A1091="","",C1091*'Loan Inputs'!$B$15)</f>
        <v/>
      </c>
      <c r="F1091" s="2" t="str">
        <f t="shared" si="48"/>
        <v/>
      </c>
      <c r="G1091" s="2" t="str">
        <f t="shared" si="49"/>
        <v/>
      </c>
      <c r="H1091" s="2" t="str">
        <f>IF(A1091="","",MIN('Loan Inputs'!$B$18,MAX(0,C1091+E1091-'Loan Inputs'!$B$17)))</f>
        <v/>
      </c>
    </row>
    <row r="1092" spans="1:8" ht="22" customHeight="1">
      <c r="A1092" s="1" t="str">
        <f>IF(AND('Loan Inputs'!$B$12,1086&lt;=IF('Loan Inputs'!$B$12,'Loan Inputs'!$B$7,0)*'Loan Inputs'!$B$14+5*'Loan Inputs'!$B$14,ISNUMBER(G1091),G1091&gt;0),1086,"")</f>
        <v/>
      </c>
      <c r="B1092" s="4" t="str">
        <f>IF(A1092="","",IF('Loan Inputs'!$B$14=12,DATE(YEAR('Loan Inputs'!$B$8),MONTH('Loan Inputs'!$B$8)+A1092,DAY('Loan Inputs'!$B$8)),'Loan Inputs'!$B$8+A1092*IF('Loan Inputs'!$B$14=26,14,7)))</f>
        <v/>
      </c>
      <c r="C1092" s="2" t="str">
        <f t="shared" si="50"/>
        <v/>
      </c>
      <c r="D1092" s="2" t="str">
        <f>IF(A1092="","",MIN('Loan Inputs'!$B$17,C1092+E1092)+H1092)</f>
        <v/>
      </c>
      <c r="E1092" s="2" t="str">
        <f>IF(A1092="","",C1092*'Loan Inputs'!$B$15)</f>
        <v/>
      </c>
      <c r="F1092" s="2" t="str">
        <f t="shared" si="48"/>
        <v/>
      </c>
      <c r="G1092" s="2" t="str">
        <f t="shared" si="49"/>
        <v/>
      </c>
      <c r="H1092" s="2" t="str">
        <f>IF(A1092="","",MIN('Loan Inputs'!$B$18,MAX(0,C1092+E1092-'Loan Inputs'!$B$17)))</f>
        <v/>
      </c>
    </row>
    <row r="1093" spans="1:8" ht="22" customHeight="1">
      <c r="A1093" s="1" t="str">
        <f>IF(AND('Loan Inputs'!$B$12,1087&lt;=IF('Loan Inputs'!$B$12,'Loan Inputs'!$B$7,0)*'Loan Inputs'!$B$14+5*'Loan Inputs'!$B$14,ISNUMBER(G1092),G1092&gt;0),1087,"")</f>
        <v/>
      </c>
      <c r="B1093" s="4" t="str">
        <f>IF(A1093="","",IF('Loan Inputs'!$B$14=12,DATE(YEAR('Loan Inputs'!$B$8),MONTH('Loan Inputs'!$B$8)+A1093,DAY('Loan Inputs'!$B$8)),'Loan Inputs'!$B$8+A1093*IF('Loan Inputs'!$B$14=26,14,7)))</f>
        <v/>
      </c>
      <c r="C1093" s="2" t="str">
        <f t="shared" si="50"/>
        <v/>
      </c>
      <c r="D1093" s="2" t="str">
        <f>IF(A1093="","",MIN('Loan Inputs'!$B$17,C1093+E1093)+H1093)</f>
        <v/>
      </c>
      <c r="E1093" s="2" t="str">
        <f>IF(A1093="","",C1093*'Loan Inputs'!$B$15)</f>
        <v/>
      </c>
      <c r="F1093" s="2" t="str">
        <f t="shared" si="48"/>
        <v/>
      </c>
      <c r="G1093" s="2" t="str">
        <f t="shared" si="49"/>
        <v/>
      </c>
      <c r="H1093" s="2" t="str">
        <f>IF(A1093="","",MIN('Loan Inputs'!$B$18,MAX(0,C1093+E1093-'Loan Inputs'!$B$17)))</f>
        <v/>
      </c>
    </row>
    <row r="1094" spans="1:8" ht="22" customHeight="1">
      <c r="A1094" s="1" t="str">
        <f>IF(AND('Loan Inputs'!$B$12,1088&lt;=IF('Loan Inputs'!$B$12,'Loan Inputs'!$B$7,0)*'Loan Inputs'!$B$14+5*'Loan Inputs'!$B$14,ISNUMBER(G1093),G1093&gt;0),1088,"")</f>
        <v/>
      </c>
      <c r="B1094" s="4" t="str">
        <f>IF(A1094="","",IF('Loan Inputs'!$B$14=12,DATE(YEAR('Loan Inputs'!$B$8),MONTH('Loan Inputs'!$B$8)+A1094,DAY('Loan Inputs'!$B$8)),'Loan Inputs'!$B$8+A1094*IF('Loan Inputs'!$B$14=26,14,7)))</f>
        <v/>
      </c>
      <c r="C1094" s="2" t="str">
        <f t="shared" si="50"/>
        <v/>
      </c>
      <c r="D1094" s="2" t="str">
        <f>IF(A1094="","",MIN('Loan Inputs'!$B$17,C1094+E1094)+H1094)</f>
        <v/>
      </c>
      <c r="E1094" s="2" t="str">
        <f>IF(A1094="","",C1094*'Loan Inputs'!$B$15)</f>
        <v/>
      </c>
      <c r="F1094" s="2" t="str">
        <f t="shared" si="48"/>
        <v/>
      </c>
      <c r="G1094" s="2" t="str">
        <f t="shared" si="49"/>
        <v/>
      </c>
      <c r="H1094" s="2" t="str">
        <f>IF(A1094="","",MIN('Loan Inputs'!$B$18,MAX(0,C1094+E1094-'Loan Inputs'!$B$17)))</f>
        <v/>
      </c>
    </row>
    <row r="1095" spans="1:8" ht="22" customHeight="1">
      <c r="A1095" s="1" t="str">
        <f>IF(AND('Loan Inputs'!$B$12,1089&lt;=IF('Loan Inputs'!$B$12,'Loan Inputs'!$B$7,0)*'Loan Inputs'!$B$14+5*'Loan Inputs'!$B$14,ISNUMBER(G1094),G1094&gt;0),1089,"")</f>
        <v/>
      </c>
      <c r="B1095" s="4" t="str">
        <f>IF(A1095="","",IF('Loan Inputs'!$B$14=12,DATE(YEAR('Loan Inputs'!$B$8),MONTH('Loan Inputs'!$B$8)+A1095,DAY('Loan Inputs'!$B$8)),'Loan Inputs'!$B$8+A1095*IF('Loan Inputs'!$B$14=26,14,7)))</f>
        <v/>
      </c>
      <c r="C1095" s="2" t="str">
        <f t="shared" si="50"/>
        <v/>
      </c>
      <c r="D1095" s="2" t="str">
        <f>IF(A1095="","",MIN('Loan Inputs'!$B$17,C1095+E1095)+H1095)</f>
        <v/>
      </c>
      <c r="E1095" s="2" t="str">
        <f>IF(A1095="","",C1095*'Loan Inputs'!$B$15)</f>
        <v/>
      </c>
      <c r="F1095" s="2" t="str">
        <f t="shared" ref="F1095:F1158" si="51">IF(A1095="","",MIN(C1095,D1095-E1095))</f>
        <v/>
      </c>
      <c r="G1095" s="2" t="str">
        <f t="shared" ref="G1095:G1158" si="52">IF(A1095="","",IF(C1095-F1095&lt;0.0000001,0,MAX(0,C1095-F1095)))</f>
        <v/>
      </c>
      <c r="H1095" s="2" t="str">
        <f>IF(A1095="","",MIN('Loan Inputs'!$B$18,MAX(0,C1095+E1095-'Loan Inputs'!$B$17)))</f>
        <v/>
      </c>
    </row>
    <row r="1096" spans="1:8" ht="22" customHeight="1">
      <c r="A1096" s="1" t="str">
        <f>IF(AND('Loan Inputs'!$B$12,1090&lt;=IF('Loan Inputs'!$B$12,'Loan Inputs'!$B$7,0)*'Loan Inputs'!$B$14+5*'Loan Inputs'!$B$14,ISNUMBER(G1095),G1095&gt;0),1090,"")</f>
        <v/>
      </c>
      <c r="B1096" s="4" t="str">
        <f>IF(A1096="","",IF('Loan Inputs'!$B$14=12,DATE(YEAR('Loan Inputs'!$B$8),MONTH('Loan Inputs'!$B$8)+A1096,DAY('Loan Inputs'!$B$8)),'Loan Inputs'!$B$8+A1096*IF('Loan Inputs'!$B$14=26,14,7)))</f>
        <v/>
      </c>
      <c r="C1096" s="2" t="str">
        <f t="shared" ref="C1096:C1159" si="53">IF(A1096="","",G1095)</f>
        <v/>
      </c>
      <c r="D1096" s="2" t="str">
        <f>IF(A1096="","",MIN('Loan Inputs'!$B$17,C1096+E1096)+H1096)</f>
        <v/>
      </c>
      <c r="E1096" s="2" t="str">
        <f>IF(A1096="","",C1096*'Loan Inputs'!$B$15)</f>
        <v/>
      </c>
      <c r="F1096" s="2" t="str">
        <f t="shared" si="51"/>
        <v/>
      </c>
      <c r="G1096" s="2" t="str">
        <f t="shared" si="52"/>
        <v/>
      </c>
      <c r="H1096" s="2" t="str">
        <f>IF(A1096="","",MIN('Loan Inputs'!$B$18,MAX(0,C1096+E1096-'Loan Inputs'!$B$17)))</f>
        <v/>
      </c>
    </row>
    <row r="1097" spans="1:8" ht="22" customHeight="1">
      <c r="A1097" s="1" t="str">
        <f>IF(AND('Loan Inputs'!$B$12,1091&lt;=IF('Loan Inputs'!$B$12,'Loan Inputs'!$B$7,0)*'Loan Inputs'!$B$14+5*'Loan Inputs'!$B$14,ISNUMBER(G1096),G1096&gt;0),1091,"")</f>
        <v/>
      </c>
      <c r="B1097" s="4" t="str">
        <f>IF(A1097="","",IF('Loan Inputs'!$B$14=12,DATE(YEAR('Loan Inputs'!$B$8),MONTH('Loan Inputs'!$B$8)+A1097,DAY('Loan Inputs'!$B$8)),'Loan Inputs'!$B$8+A1097*IF('Loan Inputs'!$B$14=26,14,7)))</f>
        <v/>
      </c>
      <c r="C1097" s="2" t="str">
        <f t="shared" si="53"/>
        <v/>
      </c>
      <c r="D1097" s="2" t="str">
        <f>IF(A1097="","",MIN('Loan Inputs'!$B$17,C1097+E1097)+H1097)</f>
        <v/>
      </c>
      <c r="E1097" s="2" t="str">
        <f>IF(A1097="","",C1097*'Loan Inputs'!$B$15)</f>
        <v/>
      </c>
      <c r="F1097" s="2" t="str">
        <f t="shared" si="51"/>
        <v/>
      </c>
      <c r="G1097" s="2" t="str">
        <f t="shared" si="52"/>
        <v/>
      </c>
      <c r="H1097" s="2" t="str">
        <f>IF(A1097="","",MIN('Loan Inputs'!$B$18,MAX(0,C1097+E1097-'Loan Inputs'!$B$17)))</f>
        <v/>
      </c>
    </row>
    <row r="1098" spans="1:8" ht="22" customHeight="1">
      <c r="A1098" s="1" t="str">
        <f>IF(AND('Loan Inputs'!$B$12,1092&lt;=IF('Loan Inputs'!$B$12,'Loan Inputs'!$B$7,0)*'Loan Inputs'!$B$14+5*'Loan Inputs'!$B$14,ISNUMBER(G1097),G1097&gt;0),1092,"")</f>
        <v/>
      </c>
      <c r="B1098" s="4" t="str">
        <f>IF(A1098="","",IF('Loan Inputs'!$B$14=12,DATE(YEAR('Loan Inputs'!$B$8),MONTH('Loan Inputs'!$B$8)+A1098,DAY('Loan Inputs'!$B$8)),'Loan Inputs'!$B$8+A1098*IF('Loan Inputs'!$B$14=26,14,7)))</f>
        <v/>
      </c>
      <c r="C1098" s="2" t="str">
        <f t="shared" si="53"/>
        <v/>
      </c>
      <c r="D1098" s="2" t="str">
        <f>IF(A1098="","",MIN('Loan Inputs'!$B$17,C1098+E1098)+H1098)</f>
        <v/>
      </c>
      <c r="E1098" s="2" t="str">
        <f>IF(A1098="","",C1098*'Loan Inputs'!$B$15)</f>
        <v/>
      </c>
      <c r="F1098" s="2" t="str">
        <f t="shared" si="51"/>
        <v/>
      </c>
      <c r="G1098" s="2" t="str">
        <f t="shared" si="52"/>
        <v/>
      </c>
      <c r="H1098" s="2" t="str">
        <f>IF(A1098="","",MIN('Loan Inputs'!$B$18,MAX(0,C1098+E1098-'Loan Inputs'!$B$17)))</f>
        <v/>
      </c>
    </row>
    <row r="1099" spans="1:8" ht="22" customHeight="1">
      <c r="A1099" s="1" t="str">
        <f>IF(AND('Loan Inputs'!$B$12,1093&lt;=IF('Loan Inputs'!$B$12,'Loan Inputs'!$B$7,0)*'Loan Inputs'!$B$14+5*'Loan Inputs'!$B$14,ISNUMBER(G1098),G1098&gt;0),1093,"")</f>
        <v/>
      </c>
      <c r="B1099" s="4" t="str">
        <f>IF(A1099="","",IF('Loan Inputs'!$B$14=12,DATE(YEAR('Loan Inputs'!$B$8),MONTH('Loan Inputs'!$B$8)+A1099,DAY('Loan Inputs'!$B$8)),'Loan Inputs'!$B$8+A1099*IF('Loan Inputs'!$B$14=26,14,7)))</f>
        <v/>
      </c>
      <c r="C1099" s="2" t="str">
        <f t="shared" si="53"/>
        <v/>
      </c>
      <c r="D1099" s="2" t="str">
        <f>IF(A1099="","",MIN('Loan Inputs'!$B$17,C1099+E1099)+H1099)</f>
        <v/>
      </c>
      <c r="E1099" s="2" t="str">
        <f>IF(A1099="","",C1099*'Loan Inputs'!$B$15)</f>
        <v/>
      </c>
      <c r="F1099" s="2" t="str">
        <f t="shared" si="51"/>
        <v/>
      </c>
      <c r="G1099" s="2" t="str">
        <f t="shared" si="52"/>
        <v/>
      </c>
      <c r="H1099" s="2" t="str">
        <f>IF(A1099="","",MIN('Loan Inputs'!$B$18,MAX(0,C1099+E1099-'Loan Inputs'!$B$17)))</f>
        <v/>
      </c>
    </row>
    <row r="1100" spans="1:8" ht="22" customHeight="1">
      <c r="A1100" s="1" t="str">
        <f>IF(AND('Loan Inputs'!$B$12,1094&lt;=IF('Loan Inputs'!$B$12,'Loan Inputs'!$B$7,0)*'Loan Inputs'!$B$14+5*'Loan Inputs'!$B$14,ISNUMBER(G1099),G1099&gt;0),1094,"")</f>
        <v/>
      </c>
      <c r="B1100" s="4" t="str">
        <f>IF(A1100="","",IF('Loan Inputs'!$B$14=12,DATE(YEAR('Loan Inputs'!$B$8),MONTH('Loan Inputs'!$B$8)+A1100,DAY('Loan Inputs'!$B$8)),'Loan Inputs'!$B$8+A1100*IF('Loan Inputs'!$B$14=26,14,7)))</f>
        <v/>
      </c>
      <c r="C1100" s="2" t="str">
        <f t="shared" si="53"/>
        <v/>
      </c>
      <c r="D1100" s="2" t="str">
        <f>IF(A1100="","",MIN('Loan Inputs'!$B$17,C1100+E1100)+H1100)</f>
        <v/>
      </c>
      <c r="E1100" s="2" t="str">
        <f>IF(A1100="","",C1100*'Loan Inputs'!$B$15)</f>
        <v/>
      </c>
      <c r="F1100" s="2" t="str">
        <f t="shared" si="51"/>
        <v/>
      </c>
      <c r="G1100" s="2" t="str">
        <f t="shared" si="52"/>
        <v/>
      </c>
      <c r="H1100" s="2" t="str">
        <f>IF(A1100="","",MIN('Loan Inputs'!$B$18,MAX(0,C1100+E1100-'Loan Inputs'!$B$17)))</f>
        <v/>
      </c>
    </row>
    <row r="1101" spans="1:8" ht="22" customHeight="1">
      <c r="A1101" s="1" t="str">
        <f>IF(AND('Loan Inputs'!$B$12,1095&lt;=IF('Loan Inputs'!$B$12,'Loan Inputs'!$B$7,0)*'Loan Inputs'!$B$14+5*'Loan Inputs'!$B$14,ISNUMBER(G1100),G1100&gt;0),1095,"")</f>
        <v/>
      </c>
      <c r="B1101" s="4" t="str">
        <f>IF(A1101="","",IF('Loan Inputs'!$B$14=12,DATE(YEAR('Loan Inputs'!$B$8),MONTH('Loan Inputs'!$B$8)+A1101,DAY('Loan Inputs'!$B$8)),'Loan Inputs'!$B$8+A1101*IF('Loan Inputs'!$B$14=26,14,7)))</f>
        <v/>
      </c>
      <c r="C1101" s="2" t="str">
        <f t="shared" si="53"/>
        <v/>
      </c>
      <c r="D1101" s="2" t="str">
        <f>IF(A1101="","",MIN('Loan Inputs'!$B$17,C1101+E1101)+H1101)</f>
        <v/>
      </c>
      <c r="E1101" s="2" t="str">
        <f>IF(A1101="","",C1101*'Loan Inputs'!$B$15)</f>
        <v/>
      </c>
      <c r="F1101" s="2" t="str">
        <f t="shared" si="51"/>
        <v/>
      </c>
      <c r="G1101" s="2" t="str">
        <f t="shared" si="52"/>
        <v/>
      </c>
      <c r="H1101" s="2" t="str">
        <f>IF(A1101="","",MIN('Loan Inputs'!$B$18,MAX(0,C1101+E1101-'Loan Inputs'!$B$17)))</f>
        <v/>
      </c>
    </row>
    <row r="1102" spans="1:8" ht="22" customHeight="1">
      <c r="A1102" s="1" t="str">
        <f>IF(AND('Loan Inputs'!$B$12,1096&lt;=IF('Loan Inputs'!$B$12,'Loan Inputs'!$B$7,0)*'Loan Inputs'!$B$14+5*'Loan Inputs'!$B$14,ISNUMBER(G1101),G1101&gt;0),1096,"")</f>
        <v/>
      </c>
      <c r="B1102" s="4" t="str">
        <f>IF(A1102="","",IF('Loan Inputs'!$B$14=12,DATE(YEAR('Loan Inputs'!$B$8),MONTH('Loan Inputs'!$B$8)+A1102,DAY('Loan Inputs'!$B$8)),'Loan Inputs'!$B$8+A1102*IF('Loan Inputs'!$B$14=26,14,7)))</f>
        <v/>
      </c>
      <c r="C1102" s="2" t="str">
        <f t="shared" si="53"/>
        <v/>
      </c>
      <c r="D1102" s="2" t="str">
        <f>IF(A1102="","",MIN('Loan Inputs'!$B$17,C1102+E1102)+H1102)</f>
        <v/>
      </c>
      <c r="E1102" s="2" t="str">
        <f>IF(A1102="","",C1102*'Loan Inputs'!$B$15)</f>
        <v/>
      </c>
      <c r="F1102" s="2" t="str">
        <f t="shared" si="51"/>
        <v/>
      </c>
      <c r="G1102" s="2" t="str">
        <f t="shared" si="52"/>
        <v/>
      </c>
      <c r="H1102" s="2" t="str">
        <f>IF(A1102="","",MIN('Loan Inputs'!$B$18,MAX(0,C1102+E1102-'Loan Inputs'!$B$17)))</f>
        <v/>
      </c>
    </row>
    <row r="1103" spans="1:8" ht="22" customHeight="1">
      <c r="A1103" s="1" t="str">
        <f>IF(AND('Loan Inputs'!$B$12,1097&lt;=IF('Loan Inputs'!$B$12,'Loan Inputs'!$B$7,0)*'Loan Inputs'!$B$14+5*'Loan Inputs'!$B$14,ISNUMBER(G1102),G1102&gt;0),1097,"")</f>
        <v/>
      </c>
      <c r="B1103" s="4" t="str">
        <f>IF(A1103="","",IF('Loan Inputs'!$B$14=12,DATE(YEAR('Loan Inputs'!$B$8),MONTH('Loan Inputs'!$B$8)+A1103,DAY('Loan Inputs'!$B$8)),'Loan Inputs'!$B$8+A1103*IF('Loan Inputs'!$B$14=26,14,7)))</f>
        <v/>
      </c>
      <c r="C1103" s="2" t="str">
        <f t="shared" si="53"/>
        <v/>
      </c>
      <c r="D1103" s="2" t="str">
        <f>IF(A1103="","",MIN('Loan Inputs'!$B$17,C1103+E1103)+H1103)</f>
        <v/>
      </c>
      <c r="E1103" s="2" t="str">
        <f>IF(A1103="","",C1103*'Loan Inputs'!$B$15)</f>
        <v/>
      </c>
      <c r="F1103" s="2" t="str">
        <f t="shared" si="51"/>
        <v/>
      </c>
      <c r="G1103" s="2" t="str">
        <f t="shared" si="52"/>
        <v/>
      </c>
      <c r="H1103" s="2" t="str">
        <f>IF(A1103="","",MIN('Loan Inputs'!$B$18,MAX(0,C1103+E1103-'Loan Inputs'!$B$17)))</f>
        <v/>
      </c>
    </row>
    <row r="1104" spans="1:8" ht="22" customHeight="1">
      <c r="A1104" s="1" t="str">
        <f>IF(AND('Loan Inputs'!$B$12,1098&lt;=IF('Loan Inputs'!$B$12,'Loan Inputs'!$B$7,0)*'Loan Inputs'!$B$14+5*'Loan Inputs'!$B$14,ISNUMBER(G1103),G1103&gt;0),1098,"")</f>
        <v/>
      </c>
      <c r="B1104" s="4" t="str">
        <f>IF(A1104="","",IF('Loan Inputs'!$B$14=12,DATE(YEAR('Loan Inputs'!$B$8),MONTH('Loan Inputs'!$B$8)+A1104,DAY('Loan Inputs'!$B$8)),'Loan Inputs'!$B$8+A1104*IF('Loan Inputs'!$B$14=26,14,7)))</f>
        <v/>
      </c>
      <c r="C1104" s="2" t="str">
        <f t="shared" si="53"/>
        <v/>
      </c>
      <c r="D1104" s="2" t="str">
        <f>IF(A1104="","",MIN('Loan Inputs'!$B$17,C1104+E1104)+H1104)</f>
        <v/>
      </c>
      <c r="E1104" s="2" t="str">
        <f>IF(A1104="","",C1104*'Loan Inputs'!$B$15)</f>
        <v/>
      </c>
      <c r="F1104" s="2" t="str">
        <f t="shared" si="51"/>
        <v/>
      </c>
      <c r="G1104" s="2" t="str">
        <f t="shared" si="52"/>
        <v/>
      </c>
      <c r="H1104" s="2" t="str">
        <f>IF(A1104="","",MIN('Loan Inputs'!$B$18,MAX(0,C1104+E1104-'Loan Inputs'!$B$17)))</f>
        <v/>
      </c>
    </row>
    <row r="1105" spans="1:8" ht="22" customHeight="1">
      <c r="A1105" s="1" t="str">
        <f>IF(AND('Loan Inputs'!$B$12,1099&lt;=IF('Loan Inputs'!$B$12,'Loan Inputs'!$B$7,0)*'Loan Inputs'!$B$14+5*'Loan Inputs'!$B$14,ISNUMBER(G1104),G1104&gt;0),1099,"")</f>
        <v/>
      </c>
      <c r="B1105" s="4" t="str">
        <f>IF(A1105="","",IF('Loan Inputs'!$B$14=12,DATE(YEAR('Loan Inputs'!$B$8),MONTH('Loan Inputs'!$B$8)+A1105,DAY('Loan Inputs'!$B$8)),'Loan Inputs'!$B$8+A1105*IF('Loan Inputs'!$B$14=26,14,7)))</f>
        <v/>
      </c>
      <c r="C1105" s="2" t="str">
        <f t="shared" si="53"/>
        <v/>
      </c>
      <c r="D1105" s="2" t="str">
        <f>IF(A1105="","",MIN('Loan Inputs'!$B$17,C1105+E1105)+H1105)</f>
        <v/>
      </c>
      <c r="E1105" s="2" t="str">
        <f>IF(A1105="","",C1105*'Loan Inputs'!$B$15)</f>
        <v/>
      </c>
      <c r="F1105" s="2" t="str">
        <f t="shared" si="51"/>
        <v/>
      </c>
      <c r="G1105" s="2" t="str">
        <f t="shared" si="52"/>
        <v/>
      </c>
      <c r="H1105" s="2" t="str">
        <f>IF(A1105="","",MIN('Loan Inputs'!$B$18,MAX(0,C1105+E1105-'Loan Inputs'!$B$17)))</f>
        <v/>
      </c>
    </row>
    <row r="1106" spans="1:8" ht="22" customHeight="1">
      <c r="A1106" s="1" t="str">
        <f>IF(AND('Loan Inputs'!$B$12,1100&lt;=IF('Loan Inputs'!$B$12,'Loan Inputs'!$B$7,0)*'Loan Inputs'!$B$14+5*'Loan Inputs'!$B$14,ISNUMBER(G1105),G1105&gt;0),1100,"")</f>
        <v/>
      </c>
      <c r="B1106" s="4" t="str">
        <f>IF(A1106="","",IF('Loan Inputs'!$B$14=12,DATE(YEAR('Loan Inputs'!$B$8),MONTH('Loan Inputs'!$B$8)+A1106,DAY('Loan Inputs'!$B$8)),'Loan Inputs'!$B$8+A1106*IF('Loan Inputs'!$B$14=26,14,7)))</f>
        <v/>
      </c>
      <c r="C1106" s="2" t="str">
        <f t="shared" si="53"/>
        <v/>
      </c>
      <c r="D1106" s="2" t="str">
        <f>IF(A1106="","",MIN('Loan Inputs'!$B$17,C1106+E1106)+H1106)</f>
        <v/>
      </c>
      <c r="E1106" s="2" t="str">
        <f>IF(A1106="","",C1106*'Loan Inputs'!$B$15)</f>
        <v/>
      </c>
      <c r="F1106" s="2" t="str">
        <f t="shared" si="51"/>
        <v/>
      </c>
      <c r="G1106" s="2" t="str">
        <f t="shared" si="52"/>
        <v/>
      </c>
      <c r="H1106" s="2" t="str">
        <f>IF(A1106="","",MIN('Loan Inputs'!$B$18,MAX(0,C1106+E1106-'Loan Inputs'!$B$17)))</f>
        <v/>
      </c>
    </row>
    <row r="1107" spans="1:8" ht="22" customHeight="1">
      <c r="A1107" s="1" t="str">
        <f>IF(AND('Loan Inputs'!$B$12,1101&lt;=IF('Loan Inputs'!$B$12,'Loan Inputs'!$B$7,0)*'Loan Inputs'!$B$14+5*'Loan Inputs'!$B$14,ISNUMBER(G1106),G1106&gt;0),1101,"")</f>
        <v/>
      </c>
      <c r="B1107" s="4" t="str">
        <f>IF(A1107="","",IF('Loan Inputs'!$B$14=12,DATE(YEAR('Loan Inputs'!$B$8),MONTH('Loan Inputs'!$B$8)+A1107,DAY('Loan Inputs'!$B$8)),'Loan Inputs'!$B$8+A1107*IF('Loan Inputs'!$B$14=26,14,7)))</f>
        <v/>
      </c>
      <c r="C1107" s="2" t="str">
        <f t="shared" si="53"/>
        <v/>
      </c>
      <c r="D1107" s="2" t="str">
        <f>IF(A1107="","",MIN('Loan Inputs'!$B$17,C1107+E1107)+H1107)</f>
        <v/>
      </c>
      <c r="E1107" s="2" t="str">
        <f>IF(A1107="","",C1107*'Loan Inputs'!$B$15)</f>
        <v/>
      </c>
      <c r="F1107" s="2" t="str">
        <f t="shared" si="51"/>
        <v/>
      </c>
      <c r="G1107" s="2" t="str">
        <f t="shared" si="52"/>
        <v/>
      </c>
      <c r="H1107" s="2" t="str">
        <f>IF(A1107="","",MIN('Loan Inputs'!$B$18,MAX(0,C1107+E1107-'Loan Inputs'!$B$17)))</f>
        <v/>
      </c>
    </row>
    <row r="1108" spans="1:8" ht="22" customHeight="1">
      <c r="A1108" s="1" t="str">
        <f>IF(AND('Loan Inputs'!$B$12,1102&lt;=IF('Loan Inputs'!$B$12,'Loan Inputs'!$B$7,0)*'Loan Inputs'!$B$14+5*'Loan Inputs'!$B$14,ISNUMBER(G1107),G1107&gt;0),1102,"")</f>
        <v/>
      </c>
      <c r="B1108" s="4" t="str">
        <f>IF(A1108="","",IF('Loan Inputs'!$B$14=12,DATE(YEAR('Loan Inputs'!$B$8),MONTH('Loan Inputs'!$B$8)+A1108,DAY('Loan Inputs'!$B$8)),'Loan Inputs'!$B$8+A1108*IF('Loan Inputs'!$B$14=26,14,7)))</f>
        <v/>
      </c>
      <c r="C1108" s="2" t="str">
        <f t="shared" si="53"/>
        <v/>
      </c>
      <c r="D1108" s="2" t="str">
        <f>IF(A1108="","",MIN('Loan Inputs'!$B$17,C1108+E1108)+H1108)</f>
        <v/>
      </c>
      <c r="E1108" s="2" t="str">
        <f>IF(A1108="","",C1108*'Loan Inputs'!$B$15)</f>
        <v/>
      </c>
      <c r="F1108" s="2" t="str">
        <f t="shared" si="51"/>
        <v/>
      </c>
      <c r="G1108" s="2" t="str">
        <f t="shared" si="52"/>
        <v/>
      </c>
      <c r="H1108" s="2" t="str">
        <f>IF(A1108="","",MIN('Loan Inputs'!$B$18,MAX(0,C1108+E1108-'Loan Inputs'!$B$17)))</f>
        <v/>
      </c>
    </row>
    <row r="1109" spans="1:8" ht="22" customHeight="1">
      <c r="A1109" s="1" t="str">
        <f>IF(AND('Loan Inputs'!$B$12,1103&lt;=IF('Loan Inputs'!$B$12,'Loan Inputs'!$B$7,0)*'Loan Inputs'!$B$14+5*'Loan Inputs'!$B$14,ISNUMBER(G1108),G1108&gt;0),1103,"")</f>
        <v/>
      </c>
      <c r="B1109" s="4" t="str">
        <f>IF(A1109="","",IF('Loan Inputs'!$B$14=12,DATE(YEAR('Loan Inputs'!$B$8),MONTH('Loan Inputs'!$B$8)+A1109,DAY('Loan Inputs'!$B$8)),'Loan Inputs'!$B$8+A1109*IF('Loan Inputs'!$B$14=26,14,7)))</f>
        <v/>
      </c>
      <c r="C1109" s="2" t="str">
        <f t="shared" si="53"/>
        <v/>
      </c>
      <c r="D1109" s="2" t="str">
        <f>IF(A1109="","",MIN('Loan Inputs'!$B$17,C1109+E1109)+H1109)</f>
        <v/>
      </c>
      <c r="E1109" s="2" t="str">
        <f>IF(A1109="","",C1109*'Loan Inputs'!$B$15)</f>
        <v/>
      </c>
      <c r="F1109" s="2" t="str">
        <f t="shared" si="51"/>
        <v/>
      </c>
      <c r="G1109" s="2" t="str">
        <f t="shared" si="52"/>
        <v/>
      </c>
      <c r="H1109" s="2" t="str">
        <f>IF(A1109="","",MIN('Loan Inputs'!$B$18,MAX(0,C1109+E1109-'Loan Inputs'!$B$17)))</f>
        <v/>
      </c>
    </row>
    <row r="1110" spans="1:8" ht="22" customHeight="1">
      <c r="A1110" s="1" t="str">
        <f>IF(AND('Loan Inputs'!$B$12,1104&lt;=IF('Loan Inputs'!$B$12,'Loan Inputs'!$B$7,0)*'Loan Inputs'!$B$14+5*'Loan Inputs'!$B$14,ISNUMBER(G1109),G1109&gt;0),1104,"")</f>
        <v/>
      </c>
      <c r="B1110" s="4" t="str">
        <f>IF(A1110="","",IF('Loan Inputs'!$B$14=12,DATE(YEAR('Loan Inputs'!$B$8),MONTH('Loan Inputs'!$B$8)+A1110,DAY('Loan Inputs'!$B$8)),'Loan Inputs'!$B$8+A1110*IF('Loan Inputs'!$B$14=26,14,7)))</f>
        <v/>
      </c>
      <c r="C1110" s="2" t="str">
        <f t="shared" si="53"/>
        <v/>
      </c>
      <c r="D1110" s="2" t="str">
        <f>IF(A1110="","",MIN('Loan Inputs'!$B$17,C1110+E1110)+H1110)</f>
        <v/>
      </c>
      <c r="E1110" s="2" t="str">
        <f>IF(A1110="","",C1110*'Loan Inputs'!$B$15)</f>
        <v/>
      </c>
      <c r="F1110" s="2" t="str">
        <f t="shared" si="51"/>
        <v/>
      </c>
      <c r="G1110" s="2" t="str">
        <f t="shared" si="52"/>
        <v/>
      </c>
      <c r="H1110" s="2" t="str">
        <f>IF(A1110="","",MIN('Loan Inputs'!$B$18,MAX(0,C1110+E1110-'Loan Inputs'!$B$17)))</f>
        <v/>
      </c>
    </row>
    <row r="1111" spans="1:8" ht="22" customHeight="1">
      <c r="A1111" s="1" t="str">
        <f>IF(AND('Loan Inputs'!$B$12,1105&lt;=IF('Loan Inputs'!$B$12,'Loan Inputs'!$B$7,0)*'Loan Inputs'!$B$14+5*'Loan Inputs'!$B$14,ISNUMBER(G1110),G1110&gt;0),1105,"")</f>
        <v/>
      </c>
      <c r="B1111" s="4" t="str">
        <f>IF(A1111="","",IF('Loan Inputs'!$B$14=12,DATE(YEAR('Loan Inputs'!$B$8),MONTH('Loan Inputs'!$B$8)+A1111,DAY('Loan Inputs'!$B$8)),'Loan Inputs'!$B$8+A1111*IF('Loan Inputs'!$B$14=26,14,7)))</f>
        <v/>
      </c>
      <c r="C1111" s="2" t="str">
        <f t="shared" si="53"/>
        <v/>
      </c>
      <c r="D1111" s="2" t="str">
        <f>IF(A1111="","",MIN('Loan Inputs'!$B$17,C1111+E1111)+H1111)</f>
        <v/>
      </c>
      <c r="E1111" s="2" t="str">
        <f>IF(A1111="","",C1111*'Loan Inputs'!$B$15)</f>
        <v/>
      </c>
      <c r="F1111" s="2" t="str">
        <f t="shared" si="51"/>
        <v/>
      </c>
      <c r="G1111" s="2" t="str">
        <f t="shared" si="52"/>
        <v/>
      </c>
      <c r="H1111" s="2" t="str">
        <f>IF(A1111="","",MIN('Loan Inputs'!$B$18,MAX(0,C1111+E1111-'Loan Inputs'!$B$17)))</f>
        <v/>
      </c>
    </row>
    <row r="1112" spans="1:8" ht="22" customHeight="1">
      <c r="A1112" s="1" t="str">
        <f>IF(AND('Loan Inputs'!$B$12,1106&lt;=IF('Loan Inputs'!$B$12,'Loan Inputs'!$B$7,0)*'Loan Inputs'!$B$14+5*'Loan Inputs'!$B$14,ISNUMBER(G1111),G1111&gt;0),1106,"")</f>
        <v/>
      </c>
      <c r="B1112" s="4" t="str">
        <f>IF(A1112="","",IF('Loan Inputs'!$B$14=12,DATE(YEAR('Loan Inputs'!$B$8),MONTH('Loan Inputs'!$B$8)+A1112,DAY('Loan Inputs'!$B$8)),'Loan Inputs'!$B$8+A1112*IF('Loan Inputs'!$B$14=26,14,7)))</f>
        <v/>
      </c>
      <c r="C1112" s="2" t="str">
        <f t="shared" si="53"/>
        <v/>
      </c>
      <c r="D1112" s="2" t="str">
        <f>IF(A1112="","",MIN('Loan Inputs'!$B$17,C1112+E1112)+H1112)</f>
        <v/>
      </c>
      <c r="E1112" s="2" t="str">
        <f>IF(A1112="","",C1112*'Loan Inputs'!$B$15)</f>
        <v/>
      </c>
      <c r="F1112" s="2" t="str">
        <f t="shared" si="51"/>
        <v/>
      </c>
      <c r="G1112" s="2" t="str">
        <f t="shared" si="52"/>
        <v/>
      </c>
      <c r="H1112" s="2" t="str">
        <f>IF(A1112="","",MIN('Loan Inputs'!$B$18,MAX(0,C1112+E1112-'Loan Inputs'!$B$17)))</f>
        <v/>
      </c>
    </row>
    <row r="1113" spans="1:8" ht="22" customHeight="1">
      <c r="A1113" s="1" t="str">
        <f>IF(AND('Loan Inputs'!$B$12,1107&lt;=IF('Loan Inputs'!$B$12,'Loan Inputs'!$B$7,0)*'Loan Inputs'!$B$14+5*'Loan Inputs'!$B$14,ISNUMBER(G1112),G1112&gt;0),1107,"")</f>
        <v/>
      </c>
      <c r="B1113" s="4" t="str">
        <f>IF(A1113="","",IF('Loan Inputs'!$B$14=12,DATE(YEAR('Loan Inputs'!$B$8),MONTH('Loan Inputs'!$B$8)+A1113,DAY('Loan Inputs'!$B$8)),'Loan Inputs'!$B$8+A1113*IF('Loan Inputs'!$B$14=26,14,7)))</f>
        <v/>
      </c>
      <c r="C1113" s="2" t="str">
        <f t="shared" si="53"/>
        <v/>
      </c>
      <c r="D1113" s="2" t="str">
        <f>IF(A1113="","",MIN('Loan Inputs'!$B$17,C1113+E1113)+H1113)</f>
        <v/>
      </c>
      <c r="E1113" s="2" t="str">
        <f>IF(A1113="","",C1113*'Loan Inputs'!$B$15)</f>
        <v/>
      </c>
      <c r="F1113" s="2" t="str">
        <f t="shared" si="51"/>
        <v/>
      </c>
      <c r="G1113" s="2" t="str">
        <f t="shared" si="52"/>
        <v/>
      </c>
      <c r="H1113" s="2" t="str">
        <f>IF(A1113="","",MIN('Loan Inputs'!$B$18,MAX(0,C1113+E1113-'Loan Inputs'!$B$17)))</f>
        <v/>
      </c>
    </row>
    <row r="1114" spans="1:8" ht="22" customHeight="1">
      <c r="A1114" s="1" t="str">
        <f>IF(AND('Loan Inputs'!$B$12,1108&lt;=IF('Loan Inputs'!$B$12,'Loan Inputs'!$B$7,0)*'Loan Inputs'!$B$14+5*'Loan Inputs'!$B$14,ISNUMBER(G1113),G1113&gt;0),1108,"")</f>
        <v/>
      </c>
      <c r="B1114" s="4" t="str">
        <f>IF(A1114="","",IF('Loan Inputs'!$B$14=12,DATE(YEAR('Loan Inputs'!$B$8),MONTH('Loan Inputs'!$B$8)+A1114,DAY('Loan Inputs'!$B$8)),'Loan Inputs'!$B$8+A1114*IF('Loan Inputs'!$B$14=26,14,7)))</f>
        <v/>
      </c>
      <c r="C1114" s="2" t="str">
        <f t="shared" si="53"/>
        <v/>
      </c>
      <c r="D1114" s="2" t="str">
        <f>IF(A1114="","",MIN('Loan Inputs'!$B$17,C1114+E1114)+H1114)</f>
        <v/>
      </c>
      <c r="E1114" s="2" t="str">
        <f>IF(A1114="","",C1114*'Loan Inputs'!$B$15)</f>
        <v/>
      </c>
      <c r="F1114" s="2" t="str">
        <f t="shared" si="51"/>
        <v/>
      </c>
      <c r="G1114" s="2" t="str">
        <f t="shared" si="52"/>
        <v/>
      </c>
      <c r="H1114" s="2" t="str">
        <f>IF(A1114="","",MIN('Loan Inputs'!$B$18,MAX(0,C1114+E1114-'Loan Inputs'!$B$17)))</f>
        <v/>
      </c>
    </row>
    <row r="1115" spans="1:8" ht="22" customHeight="1">
      <c r="A1115" s="1" t="str">
        <f>IF(AND('Loan Inputs'!$B$12,1109&lt;=IF('Loan Inputs'!$B$12,'Loan Inputs'!$B$7,0)*'Loan Inputs'!$B$14+5*'Loan Inputs'!$B$14,ISNUMBER(G1114),G1114&gt;0),1109,"")</f>
        <v/>
      </c>
      <c r="B1115" s="4" t="str">
        <f>IF(A1115="","",IF('Loan Inputs'!$B$14=12,DATE(YEAR('Loan Inputs'!$B$8),MONTH('Loan Inputs'!$B$8)+A1115,DAY('Loan Inputs'!$B$8)),'Loan Inputs'!$B$8+A1115*IF('Loan Inputs'!$B$14=26,14,7)))</f>
        <v/>
      </c>
      <c r="C1115" s="2" t="str">
        <f t="shared" si="53"/>
        <v/>
      </c>
      <c r="D1115" s="2" t="str">
        <f>IF(A1115="","",MIN('Loan Inputs'!$B$17,C1115+E1115)+H1115)</f>
        <v/>
      </c>
      <c r="E1115" s="2" t="str">
        <f>IF(A1115="","",C1115*'Loan Inputs'!$B$15)</f>
        <v/>
      </c>
      <c r="F1115" s="2" t="str">
        <f t="shared" si="51"/>
        <v/>
      </c>
      <c r="G1115" s="2" t="str">
        <f t="shared" si="52"/>
        <v/>
      </c>
      <c r="H1115" s="2" t="str">
        <f>IF(A1115="","",MIN('Loan Inputs'!$B$18,MAX(0,C1115+E1115-'Loan Inputs'!$B$17)))</f>
        <v/>
      </c>
    </row>
    <row r="1116" spans="1:8" ht="22" customHeight="1">
      <c r="A1116" s="1" t="str">
        <f>IF(AND('Loan Inputs'!$B$12,1110&lt;=IF('Loan Inputs'!$B$12,'Loan Inputs'!$B$7,0)*'Loan Inputs'!$B$14+5*'Loan Inputs'!$B$14,ISNUMBER(G1115),G1115&gt;0),1110,"")</f>
        <v/>
      </c>
      <c r="B1116" s="4" t="str">
        <f>IF(A1116="","",IF('Loan Inputs'!$B$14=12,DATE(YEAR('Loan Inputs'!$B$8),MONTH('Loan Inputs'!$B$8)+A1116,DAY('Loan Inputs'!$B$8)),'Loan Inputs'!$B$8+A1116*IF('Loan Inputs'!$B$14=26,14,7)))</f>
        <v/>
      </c>
      <c r="C1116" s="2" t="str">
        <f t="shared" si="53"/>
        <v/>
      </c>
      <c r="D1116" s="2" t="str">
        <f>IF(A1116="","",MIN('Loan Inputs'!$B$17,C1116+E1116)+H1116)</f>
        <v/>
      </c>
      <c r="E1116" s="2" t="str">
        <f>IF(A1116="","",C1116*'Loan Inputs'!$B$15)</f>
        <v/>
      </c>
      <c r="F1116" s="2" t="str">
        <f t="shared" si="51"/>
        <v/>
      </c>
      <c r="G1116" s="2" t="str">
        <f t="shared" si="52"/>
        <v/>
      </c>
      <c r="H1116" s="2" t="str">
        <f>IF(A1116="","",MIN('Loan Inputs'!$B$18,MAX(0,C1116+E1116-'Loan Inputs'!$B$17)))</f>
        <v/>
      </c>
    </row>
    <row r="1117" spans="1:8" ht="22" customHeight="1">
      <c r="A1117" s="1" t="str">
        <f>IF(AND('Loan Inputs'!$B$12,1111&lt;=IF('Loan Inputs'!$B$12,'Loan Inputs'!$B$7,0)*'Loan Inputs'!$B$14+5*'Loan Inputs'!$B$14,ISNUMBER(G1116),G1116&gt;0),1111,"")</f>
        <v/>
      </c>
      <c r="B1117" s="4" t="str">
        <f>IF(A1117="","",IF('Loan Inputs'!$B$14=12,DATE(YEAR('Loan Inputs'!$B$8),MONTH('Loan Inputs'!$B$8)+A1117,DAY('Loan Inputs'!$B$8)),'Loan Inputs'!$B$8+A1117*IF('Loan Inputs'!$B$14=26,14,7)))</f>
        <v/>
      </c>
      <c r="C1117" s="2" t="str">
        <f t="shared" si="53"/>
        <v/>
      </c>
      <c r="D1117" s="2" t="str">
        <f>IF(A1117="","",MIN('Loan Inputs'!$B$17,C1117+E1117)+H1117)</f>
        <v/>
      </c>
      <c r="E1117" s="2" t="str">
        <f>IF(A1117="","",C1117*'Loan Inputs'!$B$15)</f>
        <v/>
      </c>
      <c r="F1117" s="2" t="str">
        <f t="shared" si="51"/>
        <v/>
      </c>
      <c r="G1117" s="2" t="str">
        <f t="shared" si="52"/>
        <v/>
      </c>
      <c r="H1117" s="2" t="str">
        <f>IF(A1117="","",MIN('Loan Inputs'!$B$18,MAX(0,C1117+E1117-'Loan Inputs'!$B$17)))</f>
        <v/>
      </c>
    </row>
    <row r="1118" spans="1:8" ht="22" customHeight="1">
      <c r="A1118" s="1" t="str">
        <f>IF(AND('Loan Inputs'!$B$12,1112&lt;=IF('Loan Inputs'!$B$12,'Loan Inputs'!$B$7,0)*'Loan Inputs'!$B$14+5*'Loan Inputs'!$B$14,ISNUMBER(G1117),G1117&gt;0),1112,"")</f>
        <v/>
      </c>
      <c r="B1118" s="4" t="str">
        <f>IF(A1118="","",IF('Loan Inputs'!$B$14=12,DATE(YEAR('Loan Inputs'!$B$8),MONTH('Loan Inputs'!$B$8)+A1118,DAY('Loan Inputs'!$B$8)),'Loan Inputs'!$B$8+A1118*IF('Loan Inputs'!$B$14=26,14,7)))</f>
        <v/>
      </c>
      <c r="C1118" s="2" t="str">
        <f t="shared" si="53"/>
        <v/>
      </c>
      <c r="D1118" s="2" t="str">
        <f>IF(A1118="","",MIN('Loan Inputs'!$B$17,C1118+E1118)+H1118)</f>
        <v/>
      </c>
      <c r="E1118" s="2" t="str">
        <f>IF(A1118="","",C1118*'Loan Inputs'!$B$15)</f>
        <v/>
      </c>
      <c r="F1118" s="2" t="str">
        <f t="shared" si="51"/>
        <v/>
      </c>
      <c r="G1118" s="2" t="str">
        <f t="shared" si="52"/>
        <v/>
      </c>
      <c r="H1118" s="2" t="str">
        <f>IF(A1118="","",MIN('Loan Inputs'!$B$18,MAX(0,C1118+E1118-'Loan Inputs'!$B$17)))</f>
        <v/>
      </c>
    </row>
    <row r="1119" spans="1:8" ht="22" customHeight="1">
      <c r="A1119" s="1" t="str">
        <f>IF(AND('Loan Inputs'!$B$12,1113&lt;=IF('Loan Inputs'!$B$12,'Loan Inputs'!$B$7,0)*'Loan Inputs'!$B$14+5*'Loan Inputs'!$B$14,ISNUMBER(G1118),G1118&gt;0),1113,"")</f>
        <v/>
      </c>
      <c r="B1119" s="4" t="str">
        <f>IF(A1119="","",IF('Loan Inputs'!$B$14=12,DATE(YEAR('Loan Inputs'!$B$8),MONTH('Loan Inputs'!$B$8)+A1119,DAY('Loan Inputs'!$B$8)),'Loan Inputs'!$B$8+A1119*IF('Loan Inputs'!$B$14=26,14,7)))</f>
        <v/>
      </c>
      <c r="C1119" s="2" t="str">
        <f t="shared" si="53"/>
        <v/>
      </c>
      <c r="D1119" s="2" t="str">
        <f>IF(A1119="","",MIN('Loan Inputs'!$B$17,C1119+E1119)+H1119)</f>
        <v/>
      </c>
      <c r="E1119" s="2" t="str">
        <f>IF(A1119="","",C1119*'Loan Inputs'!$B$15)</f>
        <v/>
      </c>
      <c r="F1119" s="2" t="str">
        <f t="shared" si="51"/>
        <v/>
      </c>
      <c r="G1119" s="2" t="str">
        <f t="shared" si="52"/>
        <v/>
      </c>
      <c r="H1119" s="2" t="str">
        <f>IF(A1119="","",MIN('Loan Inputs'!$B$18,MAX(0,C1119+E1119-'Loan Inputs'!$B$17)))</f>
        <v/>
      </c>
    </row>
    <row r="1120" spans="1:8" ht="22" customHeight="1">
      <c r="A1120" s="1" t="str">
        <f>IF(AND('Loan Inputs'!$B$12,1114&lt;=IF('Loan Inputs'!$B$12,'Loan Inputs'!$B$7,0)*'Loan Inputs'!$B$14+5*'Loan Inputs'!$B$14,ISNUMBER(G1119),G1119&gt;0),1114,"")</f>
        <v/>
      </c>
      <c r="B1120" s="4" t="str">
        <f>IF(A1120="","",IF('Loan Inputs'!$B$14=12,DATE(YEAR('Loan Inputs'!$B$8),MONTH('Loan Inputs'!$B$8)+A1120,DAY('Loan Inputs'!$B$8)),'Loan Inputs'!$B$8+A1120*IF('Loan Inputs'!$B$14=26,14,7)))</f>
        <v/>
      </c>
      <c r="C1120" s="2" t="str">
        <f t="shared" si="53"/>
        <v/>
      </c>
      <c r="D1120" s="2" t="str">
        <f>IF(A1120="","",MIN('Loan Inputs'!$B$17,C1120+E1120)+H1120)</f>
        <v/>
      </c>
      <c r="E1120" s="2" t="str">
        <f>IF(A1120="","",C1120*'Loan Inputs'!$B$15)</f>
        <v/>
      </c>
      <c r="F1120" s="2" t="str">
        <f t="shared" si="51"/>
        <v/>
      </c>
      <c r="G1120" s="2" t="str">
        <f t="shared" si="52"/>
        <v/>
      </c>
      <c r="H1120" s="2" t="str">
        <f>IF(A1120="","",MIN('Loan Inputs'!$B$18,MAX(0,C1120+E1120-'Loan Inputs'!$B$17)))</f>
        <v/>
      </c>
    </row>
    <row r="1121" spans="1:8" ht="22" customHeight="1">
      <c r="A1121" s="1" t="str">
        <f>IF(AND('Loan Inputs'!$B$12,1115&lt;=IF('Loan Inputs'!$B$12,'Loan Inputs'!$B$7,0)*'Loan Inputs'!$B$14+5*'Loan Inputs'!$B$14,ISNUMBER(G1120),G1120&gt;0),1115,"")</f>
        <v/>
      </c>
      <c r="B1121" s="4" t="str">
        <f>IF(A1121="","",IF('Loan Inputs'!$B$14=12,DATE(YEAR('Loan Inputs'!$B$8),MONTH('Loan Inputs'!$B$8)+A1121,DAY('Loan Inputs'!$B$8)),'Loan Inputs'!$B$8+A1121*IF('Loan Inputs'!$B$14=26,14,7)))</f>
        <v/>
      </c>
      <c r="C1121" s="2" t="str">
        <f t="shared" si="53"/>
        <v/>
      </c>
      <c r="D1121" s="2" t="str">
        <f>IF(A1121="","",MIN('Loan Inputs'!$B$17,C1121+E1121)+H1121)</f>
        <v/>
      </c>
      <c r="E1121" s="2" t="str">
        <f>IF(A1121="","",C1121*'Loan Inputs'!$B$15)</f>
        <v/>
      </c>
      <c r="F1121" s="2" t="str">
        <f t="shared" si="51"/>
        <v/>
      </c>
      <c r="G1121" s="2" t="str">
        <f t="shared" si="52"/>
        <v/>
      </c>
      <c r="H1121" s="2" t="str">
        <f>IF(A1121="","",MIN('Loan Inputs'!$B$18,MAX(0,C1121+E1121-'Loan Inputs'!$B$17)))</f>
        <v/>
      </c>
    </row>
    <row r="1122" spans="1:8" ht="22" customHeight="1">
      <c r="A1122" s="1" t="str">
        <f>IF(AND('Loan Inputs'!$B$12,1116&lt;=IF('Loan Inputs'!$B$12,'Loan Inputs'!$B$7,0)*'Loan Inputs'!$B$14+5*'Loan Inputs'!$B$14,ISNUMBER(G1121),G1121&gt;0),1116,"")</f>
        <v/>
      </c>
      <c r="B1122" s="4" t="str">
        <f>IF(A1122="","",IF('Loan Inputs'!$B$14=12,DATE(YEAR('Loan Inputs'!$B$8),MONTH('Loan Inputs'!$B$8)+A1122,DAY('Loan Inputs'!$B$8)),'Loan Inputs'!$B$8+A1122*IF('Loan Inputs'!$B$14=26,14,7)))</f>
        <v/>
      </c>
      <c r="C1122" s="2" t="str">
        <f t="shared" si="53"/>
        <v/>
      </c>
      <c r="D1122" s="2" t="str">
        <f>IF(A1122="","",MIN('Loan Inputs'!$B$17,C1122+E1122)+H1122)</f>
        <v/>
      </c>
      <c r="E1122" s="2" t="str">
        <f>IF(A1122="","",C1122*'Loan Inputs'!$B$15)</f>
        <v/>
      </c>
      <c r="F1122" s="2" t="str">
        <f t="shared" si="51"/>
        <v/>
      </c>
      <c r="G1122" s="2" t="str">
        <f t="shared" si="52"/>
        <v/>
      </c>
      <c r="H1122" s="2" t="str">
        <f>IF(A1122="","",MIN('Loan Inputs'!$B$18,MAX(0,C1122+E1122-'Loan Inputs'!$B$17)))</f>
        <v/>
      </c>
    </row>
    <row r="1123" spans="1:8" ht="22" customHeight="1">
      <c r="A1123" s="1" t="str">
        <f>IF(AND('Loan Inputs'!$B$12,1117&lt;=IF('Loan Inputs'!$B$12,'Loan Inputs'!$B$7,0)*'Loan Inputs'!$B$14+5*'Loan Inputs'!$B$14,ISNUMBER(G1122),G1122&gt;0),1117,"")</f>
        <v/>
      </c>
      <c r="B1123" s="4" t="str">
        <f>IF(A1123="","",IF('Loan Inputs'!$B$14=12,DATE(YEAR('Loan Inputs'!$B$8),MONTH('Loan Inputs'!$B$8)+A1123,DAY('Loan Inputs'!$B$8)),'Loan Inputs'!$B$8+A1123*IF('Loan Inputs'!$B$14=26,14,7)))</f>
        <v/>
      </c>
      <c r="C1123" s="2" t="str">
        <f t="shared" si="53"/>
        <v/>
      </c>
      <c r="D1123" s="2" t="str">
        <f>IF(A1123="","",MIN('Loan Inputs'!$B$17,C1123+E1123)+H1123)</f>
        <v/>
      </c>
      <c r="E1123" s="2" t="str">
        <f>IF(A1123="","",C1123*'Loan Inputs'!$B$15)</f>
        <v/>
      </c>
      <c r="F1123" s="2" t="str">
        <f t="shared" si="51"/>
        <v/>
      </c>
      <c r="G1123" s="2" t="str">
        <f t="shared" si="52"/>
        <v/>
      </c>
      <c r="H1123" s="2" t="str">
        <f>IF(A1123="","",MIN('Loan Inputs'!$B$18,MAX(0,C1123+E1123-'Loan Inputs'!$B$17)))</f>
        <v/>
      </c>
    </row>
    <row r="1124" spans="1:8" ht="22" customHeight="1">
      <c r="A1124" s="1" t="str">
        <f>IF(AND('Loan Inputs'!$B$12,1118&lt;=IF('Loan Inputs'!$B$12,'Loan Inputs'!$B$7,0)*'Loan Inputs'!$B$14+5*'Loan Inputs'!$B$14,ISNUMBER(G1123),G1123&gt;0),1118,"")</f>
        <v/>
      </c>
      <c r="B1124" s="4" t="str">
        <f>IF(A1124="","",IF('Loan Inputs'!$B$14=12,DATE(YEAR('Loan Inputs'!$B$8),MONTH('Loan Inputs'!$B$8)+A1124,DAY('Loan Inputs'!$B$8)),'Loan Inputs'!$B$8+A1124*IF('Loan Inputs'!$B$14=26,14,7)))</f>
        <v/>
      </c>
      <c r="C1124" s="2" t="str">
        <f t="shared" si="53"/>
        <v/>
      </c>
      <c r="D1124" s="2" t="str">
        <f>IF(A1124="","",MIN('Loan Inputs'!$B$17,C1124+E1124)+H1124)</f>
        <v/>
      </c>
      <c r="E1124" s="2" t="str">
        <f>IF(A1124="","",C1124*'Loan Inputs'!$B$15)</f>
        <v/>
      </c>
      <c r="F1124" s="2" t="str">
        <f t="shared" si="51"/>
        <v/>
      </c>
      <c r="G1124" s="2" t="str">
        <f t="shared" si="52"/>
        <v/>
      </c>
      <c r="H1124" s="2" t="str">
        <f>IF(A1124="","",MIN('Loan Inputs'!$B$18,MAX(0,C1124+E1124-'Loan Inputs'!$B$17)))</f>
        <v/>
      </c>
    </row>
    <row r="1125" spans="1:8" ht="22" customHeight="1">
      <c r="A1125" s="1" t="str">
        <f>IF(AND('Loan Inputs'!$B$12,1119&lt;=IF('Loan Inputs'!$B$12,'Loan Inputs'!$B$7,0)*'Loan Inputs'!$B$14+5*'Loan Inputs'!$B$14,ISNUMBER(G1124),G1124&gt;0),1119,"")</f>
        <v/>
      </c>
      <c r="B1125" s="4" t="str">
        <f>IF(A1125="","",IF('Loan Inputs'!$B$14=12,DATE(YEAR('Loan Inputs'!$B$8),MONTH('Loan Inputs'!$B$8)+A1125,DAY('Loan Inputs'!$B$8)),'Loan Inputs'!$B$8+A1125*IF('Loan Inputs'!$B$14=26,14,7)))</f>
        <v/>
      </c>
      <c r="C1125" s="2" t="str">
        <f t="shared" si="53"/>
        <v/>
      </c>
      <c r="D1125" s="2" t="str">
        <f>IF(A1125="","",MIN('Loan Inputs'!$B$17,C1125+E1125)+H1125)</f>
        <v/>
      </c>
      <c r="E1125" s="2" t="str">
        <f>IF(A1125="","",C1125*'Loan Inputs'!$B$15)</f>
        <v/>
      </c>
      <c r="F1125" s="2" t="str">
        <f t="shared" si="51"/>
        <v/>
      </c>
      <c r="G1125" s="2" t="str">
        <f t="shared" si="52"/>
        <v/>
      </c>
      <c r="H1125" s="2" t="str">
        <f>IF(A1125="","",MIN('Loan Inputs'!$B$18,MAX(0,C1125+E1125-'Loan Inputs'!$B$17)))</f>
        <v/>
      </c>
    </row>
    <row r="1126" spans="1:8" ht="22" customHeight="1">
      <c r="A1126" s="1" t="str">
        <f>IF(AND('Loan Inputs'!$B$12,1120&lt;=IF('Loan Inputs'!$B$12,'Loan Inputs'!$B$7,0)*'Loan Inputs'!$B$14+5*'Loan Inputs'!$B$14,ISNUMBER(G1125),G1125&gt;0),1120,"")</f>
        <v/>
      </c>
      <c r="B1126" s="4" t="str">
        <f>IF(A1126="","",IF('Loan Inputs'!$B$14=12,DATE(YEAR('Loan Inputs'!$B$8),MONTH('Loan Inputs'!$B$8)+A1126,DAY('Loan Inputs'!$B$8)),'Loan Inputs'!$B$8+A1126*IF('Loan Inputs'!$B$14=26,14,7)))</f>
        <v/>
      </c>
      <c r="C1126" s="2" t="str">
        <f t="shared" si="53"/>
        <v/>
      </c>
      <c r="D1126" s="2" t="str">
        <f>IF(A1126="","",MIN('Loan Inputs'!$B$17,C1126+E1126)+H1126)</f>
        <v/>
      </c>
      <c r="E1126" s="2" t="str">
        <f>IF(A1126="","",C1126*'Loan Inputs'!$B$15)</f>
        <v/>
      </c>
      <c r="F1126" s="2" t="str">
        <f t="shared" si="51"/>
        <v/>
      </c>
      <c r="G1126" s="2" t="str">
        <f t="shared" si="52"/>
        <v/>
      </c>
      <c r="H1126" s="2" t="str">
        <f>IF(A1126="","",MIN('Loan Inputs'!$B$18,MAX(0,C1126+E1126-'Loan Inputs'!$B$17)))</f>
        <v/>
      </c>
    </row>
    <row r="1127" spans="1:8" ht="22" customHeight="1">
      <c r="A1127" s="1" t="str">
        <f>IF(AND('Loan Inputs'!$B$12,1121&lt;=IF('Loan Inputs'!$B$12,'Loan Inputs'!$B$7,0)*'Loan Inputs'!$B$14+5*'Loan Inputs'!$B$14,ISNUMBER(G1126),G1126&gt;0),1121,"")</f>
        <v/>
      </c>
      <c r="B1127" s="4" t="str">
        <f>IF(A1127="","",IF('Loan Inputs'!$B$14=12,DATE(YEAR('Loan Inputs'!$B$8),MONTH('Loan Inputs'!$B$8)+A1127,DAY('Loan Inputs'!$B$8)),'Loan Inputs'!$B$8+A1127*IF('Loan Inputs'!$B$14=26,14,7)))</f>
        <v/>
      </c>
      <c r="C1127" s="2" t="str">
        <f t="shared" si="53"/>
        <v/>
      </c>
      <c r="D1127" s="2" t="str">
        <f>IF(A1127="","",MIN('Loan Inputs'!$B$17,C1127+E1127)+H1127)</f>
        <v/>
      </c>
      <c r="E1127" s="2" t="str">
        <f>IF(A1127="","",C1127*'Loan Inputs'!$B$15)</f>
        <v/>
      </c>
      <c r="F1127" s="2" t="str">
        <f t="shared" si="51"/>
        <v/>
      </c>
      <c r="G1127" s="2" t="str">
        <f t="shared" si="52"/>
        <v/>
      </c>
      <c r="H1127" s="2" t="str">
        <f>IF(A1127="","",MIN('Loan Inputs'!$B$18,MAX(0,C1127+E1127-'Loan Inputs'!$B$17)))</f>
        <v/>
      </c>
    </row>
    <row r="1128" spans="1:8" ht="22" customHeight="1">
      <c r="A1128" s="1" t="str">
        <f>IF(AND('Loan Inputs'!$B$12,1122&lt;=IF('Loan Inputs'!$B$12,'Loan Inputs'!$B$7,0)*'Loan Inputs'!$B$14+5*'Loan Inputs'!$B$14,ISNUMBER(G1127),G1127&gt;0),1122,"")</f>
        <v/>
      </c>
      <c r="B1128" s="4" t="str">
        <f>IF(A1128="","",IF('Loan Inputs'!$B$14=12,DATE(YEAR('Loan Inputs'!$B$8),MONTH('Loan Inputs'!$B$8)+A1128,DAY('Loan Inputs'!$B$8)),'Loan Inputs'!$B$8+A1128*IF('Loan Inputs'!$B$14=26,14,7)))</f>
        <v/>
      </c>
      <c r="C1128" s="2" t="str">
        <f t="shared" si="53"/>
        <v/>
      </c>
      <c r="D1128" s="2" t="str">
        <f>IF(A1128="","",MIN('Loan Inputs'!$B$17,C1128+E1128)+H1128)</f>
        <v/>
      </c>
      <c r="E1128" s="2" t="str">
        <f>IF(A1128="","",C1128*'Loan Inputs'!$B$15)</f>
        <v/>
      </c>
      <c r="F1128" s="2" t="str">
        <f t="shared" si="51"/>
        <v/>
      </c>
      <c r="G1128" s="2" t="str">
        <f t="shared" si="52"/>
        <v/>
      </c>
      <c r="H1128" s="2" t="str">
        <f>IF(A1128="","",MIN('Loan Inputs'!$B$18,MAX(0,C1128+E1128-'Loan Inputs'!$B$17)))</f>
        <v/>
      </c>
    </row>
    <row r="1129" spans="1:8" ht="22" customHeight="1">
      <c r="A1129" s="1" t="str">
        <f>IF(AND('Loan Inputs'!$B$12,1123&lt;=IF('Loan Inputs'!$B$12,'Loan Inputs'!$B$7,0)*'Loan Inputs'!$B$14+5*'Loan Inputs'!$B$14,ISNUMBER(G1128),G1128&gt;0),1123,"")</f>
        <v/>
      </c>
      <c r="B1129" s="4" t="str">
        <f>IF(A1129="","",IF('Loan Inputs'!$B$14=12,DATE(YEAR('Loan Inputs'!$B$8),MONTH('Loan Inputs'!$B$8)+A1129,DAY('Loan Inputs'!$B$8)),'Loan Inputs'!$B$8+A1129*IF('Loan Inputs'!$B$14=26,14,7)))</f>
        <v/>
      </c>
      <c r="C1129" s="2" t="str">
        <f t="shared" si="53"/>
        <v/>
      </c>
      <c r="D1129" s="2" t="str">
        <f>IF(A1129="","",MIN('Loan Inputs'!$B$17,C1129+E1129)+H1129)</f>
        <v/>
      </c>
      <c r="E1129" s="2" t="str">
        <f>IF(A1129="","",C1129*'Loan Inputs'!$B$15)</f>
        <v/>
      </c>
      <c r="F1129" s="2" t="str">
        <f t="shared" si="51"/>
        <v/>
      </c>
      <c r="G1129" s="2" t="str">
        <f t="shared" si="52"/>
        <v/>
      </c>
      <c r="H1129" s="2" t="str">
        <f>IF(A1129="","",MIN('Loan Inputs'!$B$18,MAX(0,C1129+E1129-'Loan Inputs'!$B$17)))</f>
        <v/>
      </c>
    </row>
    <row r="1130" spans="1:8" ht="22" customHeight="1">
      <c r="A1130" s="1" t="str">
        <f>IF(AND('Loan Inputs'!$B$12,1124&lt;=IF('Loan Inputs'!$B$12,'Loan Inputs'!$B$7,0)*'Loan Inputs'!$B$14+5*'Loan Inputs'!$B$14,ISNUMBER(G1129),G1129&gt;0),1124,"")</f>
        <v/>
      </c>
      <c r="B1130" s="4" t="str">
        <f>IF(A1130="","",IF('Loan Inputs'!$B$14=12,DATE(YEAR('Loan Inputs'!$B$8),MONTH('Loan Inputs'!$B$8)+A1130,DAY('Loan Inputs'!$B$8)),'Loan Inputs'!$B$8+A1130*IF('Loan Inputs'!$B$14=26,14,7)))</f>
        <v/>
      </c>
      <c r="C1130" s="2" t="str">
        <f t="shared" si="53"/>
        <v/>
      </c>
      <c r="D1130" s="2" t="str">
        <f>IF(A1130="","",MIN('Loan Inputs'!$B$17,C1130+E1130)+H1130)</f>
        <v/>
      </c>
      <c r="E1130" s="2" t="str">
        <f>IF(A1130="","",C1130*'Loan Inputs'!$B$15)</f>
        <v/>
      </c>
      <c r="F1130" s="2" t="str">
        <f t="shared" si="51"/>
        <v/>
      </c>
      <c r="G1130" s="2" t="str">
        <f t="shared" si="52"/>
        <v/>
      </c>
      <c r="H1130" s="2" t="str">
        <f>IF(A1130="","",MIN('Loan Inputs'!$B$18,MAX(0,C1130+E1130-'Loan Inputs'!$B$17)))</f>
        <v/>
      </c>
    </row>
    <row r="1131" spans="1:8" ht="22" customHeight="1">
      <c r="A1131" s="1" t="str">
        <f>IF(AND('Loan Inputs'!$B$12,1125&lt;=IF('Loan Inputs'!$B$12,'Loan Inputs'!$B$7,0)*'Loan Inputs'!$B$14+5*'Loan Inputs'!$B$14,ISNUMBER(G1130),G1130&gt;0),1125,"")</f>
        <v/>
      </c>
      <c r="B1131" s="4" t="str">
        <f>IF(A1131="","",IF('Loan Inputs'!$B$14=12,DATE(YEAR('Loan Inputs'!$B$8),MONTH('Loan Inputs'!$B$8)+A1131,DAY('Loan Inputs'!$B$8)),'Loan Inputs'!$B$8+A1131*IF('Loan Inputs'!$B$14=26,14,7)))</f>
        <v/>
      </c>
      <c r="C1131" s="2" t="str">
        <f t="shared" si="53"/>
        <v/>
      </c>
      <c r="D1131" s="2" t="str">
        <f>IF(A1131="","",MIN('Loan Inputs'!$B$17,C1131+E1131)+H1131)</f>
        <v/>
      </c>
      <c r="E1131" s="2" t="str">
        <f>IF(A1131="","",C1131*'Loan Inputs'!$B$15)</f>
        <v/>
      </c>
      <c r="F1131" s="2" t="str">
        <f t="shared" si="51"/>
        <v/>
      </c>
      <c r="G1131" s="2" t="str">
        <f t="shared" si="52"/>
        <v/>
      </c>
      <c r="H1131" s="2" t="str">
        <f>IF(A1131="","",MIN('Loan Inputs'!$B$18,MAX(0,C1131+E1131-'Loan Inputs'!$B$17)))</f>
        <v/>
      </c>
    </row>
    <row r="1132" spans="1:8" ht="22" customHeight="1">
      <c r="A1132" s="1" t="str">
        <f>IF(AND('Loan Inputs'!$B$12,1126&lt;=IF('Loan Inputs'!$B$12,'Loan Inputs'!$B$7,0)*'Loan Inputs'!$B$14+5*'Loan Inputs'!$B$14,ISNUMBER(G1131),G1131&gt;0),1126,"")</f>
        <v/>
      </c>
      <c r="B1132" s="4" t="str">
        <f>IF(A1132="","",IF('Loan Inputs'!$B$14=12,DATE(YEAR('Loan Inputs'!$B$8),MONTH('Loan Inputs'!$B$8)+A1132,DAY('Loan Inputs'!$B$8)),'Loan Inputs'!$B$8+A1132*IF('Loan Inputs'!$B$14=26,14,7)))</f>
        <v/>
      </c>
      <c r="C1132" s="2" t="str">
        <f t="shared" si="53"/>
        <v/>
      </c>
      <c r="D1132" s="2" t="str">
        <f>IF(A1132="","",MIN('Loan Inputs'!$B$17,C1132+E1132)+H1132)</f>
        <v/>
      </c>
      <c r="E1132" s="2" t="str">
        <f>IF(A1132="","",C1132*'Loan Inputs'!$B$15)</f>
        <v/>
      </c>
      <c r="F1132" s="2" t="str">
        <f t="shared" si="51"/>
        <v/>
      </c>
      <c r="G1132" s="2" t="str">
        <f t="shared" si="52"/>
        <v/>
      </c>
      <c r="H1132" s="2" t="str">
        <f>IF(A1132="","",MIN('Loan Inputs'!$B$18,MAX(0,C1132+E1132-'Loan Inputs'!$B$17)))</f>
        <v/>
      </c>
    </row>
    <row r="1133" spans="1:8" ht="22" customHeight="1">
      <c r="A1133" s="1" t="str">
        <f>IF(AND('Loan Inputs'!$B$12,1127&lt;=IF('Loan Inputs'!$B$12,'Loan Inputs'!$B$7,0)*'Loan Inputs'!$B$14+5*'Loan Inputs'!$B$14,ISNUMBER(G1132),G1132&gt;0),1127,"")</f>
        <v/>
      </c>
      <c r="B1133" s="4" t="str">
        <f>IF(A1133="","",IF('Loan Inputs'!$B$14=12,DATE(YEAR('Loan Inputs'!$B$8),MONTH('Loan Inputs'!$B$8)+A1133,DAY('Loan Inputs'!$B$8)),'Loan Inputs'!$B$8+A1133*IF('Loan Inputs'!$B$14=26,14,7)))</f>
        <v/>
      </c>
      <c r="C1133" s="2" t="str">
        <f t="shared" si="53"/>
        <v/>
      </c>
      <c r="D1133" s="2" t="str">
        <f>IF(A1133="","",MIN('Loan Inputs'!$B$17,C1133+E1133)+H1133)</f>
        <v/>
      </c>
      <c r="E1133" s="2" t="str">
        <f>IF(A1133="","",C1133*'Loan Inputs'!$B$15)</f>
        <v/>
      </c>
      <c r="F1133" s="2" t="str">
        <f t="shared" si="51"/>
        <v/>
      </c>
      <c r="G1133" s="2" t="str">
        <f t="shared" si="52"/>
        <v/>
      </c>
      <c r="H1133" s="2" t="str">
        <f>IF(A1133="","",MIN('Loan Inputs'!$B$18,MAX(0,C1133+E1133-'Loan Inputs'!$B$17)))</f>
        <v/>
      </c>
    </row>
    <row r="1134" spans="1:8" ht="22" customHeight="1">
      <c r="A1134" s="1" t="str">
        <f>IF(AND('Loan Inputs'!$B$12,1128&lt;=IF('Loan Inputs'!$B$12,'Loan Inputs'!$B$7,0)*'Loan Inputs'!$B$14+5*'Loan Inputs'!$B$14,ISNUMBER(G1133),G1133&gt;0),1128,"")</f>
        <v/>
      </c>
      <c r="B1134" s="4" t="str">
        <f>IF(A1134="","",IF('Loan Inputs'!$B$14=12,DATE(YEAR('Loan Inputs'!$B$8),MONTH('Loan Inputs'!$B$8)+A1134,DAY('Loan Inputs'!$B$8)),'Loan Inputs'!$B$8+A1134*IF('Loan Inputs'!$B$14=26,14,7)))</f>
        <v/>
      </c>
      <c r="C1134" s="2" t="str">
        <f t="shared" si="53"/>
        <v/>
      </c>
      <c r="D1134" s="2" t="str">
        <f>IF(A1134="","",MIN('Loan Inputs'!$B$17,C1134+E1134)+H1134)</f>
        <v/>
      </c>
      <c r="E1134" s="2" t="str">
        <f>IF(A1134="","",C1134*'Loan Inputs'!$B$15)</f>
        <v/>
      </c>
      <c r="F1134" s="2" t="str">
        <f t="shared" si="51"/>
        <v/>
      </c>
      <c r="G1134" s="2" t="str">
        <f t="shared" si="52"/>
        <v/>
      </c>
      <c r="H1134" s="2" t="str">
        <f>IF(A1134="","",MIN('Loan Inputs'!$B$18,MAX(0,C1134+E1134-'Loan Inputs'!$B$17)))</f>
        <v/>
      </c>
    </row>
    <row r="1135" spans="1:8" ht="22" customHeight="1">
      <c r="A1135" s="1" t="str">
        <f>IF(AND('Loan Inputs'!$B$12,1129&lt;=IF('Loan Inputs'!$B$12,'Loan Inputs'!$B$7,0)*'Loan Inputs'!$B$14+5*'Loan Inputs'!$B$14,ISNUMBER(G1134),G1134&gt;0),1129,"")</f>
        <v/>
      </c>
      <c r="B1135" s="4" t="str">
        <f>IF(A1135="","",IF('Loan Inputs'!$B$14=12,DATE(YEAR('Loan Inputs'!$B$8),MONTH('Loan Inputs'!$B$8)+A1135,DAY('Loan Inputs'!$B$8)),'Loan Inputs'!$B$8+A1135*IF('Loan Inputs'!$B$14=26,14,7)))</f>
        <v/>
      </c>
      <c r="C1135" s="2" t="str">
        <f t="shared" si="53"/>
        <v/>
      </c>
      <c r="D1135" s="2" t="str">
        <f>IF(A1135="","",MIN('Loan Inputs'!$B$17,C1135+E1135)+H1135)</f>
        <v/>
      </c>
      <c r="E1135" s="2" t="str">
        <f>IF(A1135="","",C1135*'Loan Inputs'!$B$15)</f>
        <v/>
      </c>
      <c r="F1135" s="2" t="str">
        <f t="shared" si="51"/>
        <v/>
      </c>
      <c r="G1135" s="2" t="str">
        <f t="shared" si="52"/>
        <v/>
      </c>
      <c r="H1135" s="2" t="str">
        <f>IF(A1135="","",MIN('Loan Inputs'!$B$18,MAX(0,C1135+E1135-'Loan Inputs'!$B$17)))</f>
        <v/>
      </c>
    </row>
    <row r="1136" spans="1:8" ht="22" customHeight="1">
      <c r="A1136" s="1" t="str">
        <f>IF(AND('Loan Inputs'!$B$12,1130&lt;=IF('Loan Inputs'!$B$12,'Loan Inputs'!$B$7,0)*'Loan Inputs'!$B$14+5*'Loan Inputs'!$B$14,ISNUMBER(G1135),G1135&gt;0),1130,"")</f>
        <v/>
      </c>
      <c r="B1136" s="4" t="str">
        <f>IF(A1136="","",IF('Loan Inputs'!$B$14=12,DATE(YEAR('Loan Inputs'!$B$8),MONTH('Loan Inputs'!$B$8)+A1136,DAY('Loan Inputs'!$B$8)),'Loan Inputs'!$B$8+A1136*IF('Loan Inputs'!$B$14=26,14,7)))</f>
        <v/>
      </c>
      <c r="C1136" s="2" t="str">
        <f t="shared" si="53"/>
        <v/>
      </c>
      <c r="D1136" s="2" t="str">
        <f>IF(A1136="","",MIN('Loan Inputs'!$B$17,C1136+E1136)+H1136)</f>
        <v/>
      </c>
      <c r="E1136" s="2" t="str">
        <f>IF(A1136="","",C1136*'Loan Inputs'!$B$15)</f>
        <v/>
      </c>
      <c r="F1136" s="2" t="str">
        <f t="shared" si="51"/>
        <v/>
      </c>
      <c r="G1136" s="2" t="str">
        <f t="shared" si="52"/>
        <v/>
      </c>
      <c r="H1136" s="2" t="str">
        <f>IF(A1136="","",MIN('Loan Inputs'!$B$18,MAX(0,C1136+E1136-'Loan Inputs'!$B$17)))</f>
        <v/>
      </c>
    </row>
    <row r="1137" spans="1:8" ht="22" customHeight="1">
      <c r="A1137" s="1" t="str">
        <f>IF(AND('Loan Inputs'!$B$12,1131&lt;=IF('Loan Inputs'!$B$12,'Loan Inputs'!$B$7,0)*'Loan Inputs'!$B$14+5*'Loan Inputs'!$B$14,ISNUMBER(G1136),G1136&gt;0),1131,"")</f>
        <v/>
      </c>
      <c r="B1137" s="4" t="str">
        <f>IF(A1137="","",IF('Loan Inputs'!$B$14=12,DATE(YEAR('Loan Inputs'!$B$8),MONTH('Loan Inputs'!$B$8)+A1137,DAY('Loan Inputs'!$B$8)),'Loan Inputs'!$B$8+A1137*IF('Loan Inputs'!$B$14=26,14,7)))</f>
        <v/>
      </c>
      <c r="C1137" s="2" t="str">
        <f t="shared" si="53"/>
        <v/>
      </c>
      <c r="D1137" s="2" t="str">
        <f>IF(A1137="","",MIN('Loan Inputs'!$B$17,C1137+E1137)+H1137)</f>
        <v/>
      </c>
      <c r="E1137" s="2" t="str">
        <f>IF(A1137="","",C1137*'Loan Inputs'!$B$15)</f>
        <v/>
      </c>
      <c r="F1137" s="2" t="str">
        <f t="shared" si="51"/>
        <v/>
      </c>
      <c r="G1137" s="2" t="str">
        <f t="shared" si="52"/>
        <v/>
      </c>
      <c r="H1137" s="2" t="str">
        <f>IF(A1137="","",MIN('Loan Inputs'!$B$18,MAX(0,C1137+E1137-'Loan Inputs'!$B$17)))</f>
        <v/>
      </c>
    </row>
    <row r="1138" spans="1:8" ht="22" customHeight="1">
      <c r="A1138" s="1" t="str">
        <f>IF(AND('Loan Inputs'!$B$12,1132&lt;=IF('Loan Inputs'!$B$12,'Loan Inputs'!$B$7,0)*'Loan Inputs'!$B$14+5*'Loan Inputs'!$B$14,ISNUMBER(G1137),G1137&gt;0),1132,"")</f>
        <v/>
      </c>
      <c r="B1138" s="4" t="str">
        <f>IF(A1138="","",IF('Loan Inputs'!$B$14=12,DATE(YEAR('Loan Inputs'!$B$8),MONTH('Loan Inputs'!$B$8)+A1138,DAY('Loan Inputs'!$B$8)),'Loan Inputs'!$B$8+A1138*IF('Loan Inputs'!$B$14=26,14,7)))</f>
        <v/>
      </c>
      <c r="C1138" s="2" t="str">
        <f t="shared" si="53"/>
        <v/>
      </c>
      <c r="D1138" s="2" t="str">
        <f>IF(A1138="","",MIN('Loan Inputs'!$B$17,C1138+E1138)+H1138)</f>
        <v/>
      </c>
      <c r="E1138" s="2" t="str">
        <f>IF(A1138="","",C1138*'Loan Inputs'!$B$15)</f>
        <v/>
      </c>
      <c r="F1138" s="2" t="str">
        <f t="shared" si="51"/>
        <v/>
      </c>
      <c r="G1138" s="2" t="str">
        <f t="shared" si="52"/>
        <v/>
      </c>
      <c r="H1138" s="2" t="str">
        <f>IF(A1138="","",MIN('Loan Inputs'!$B$18,MAX(0,C1138+E1138-'Loan Inputs'!$B$17)))</f>
        <v/>
      </c>
    </row>
    <row r="1139" spans="1:8" ht="22" customHeight="1">
      <c r="A1139" s="1" t="str">
        <f>IF(AND('Loan Inputs'!$B$12,1133&lt;=IF('Loan Inputs'!$B$12,'Loan Inputs'!$B$7,0)*'Loan Inputs'!$B$14+5*'Loan Inputs'!$B$14,ISNUMBER(G1138),G1138&gt;0),1133,"")</f>
        <v/>
      </c>
      <c r="B1139" s="4" t="str">
        <f>IF(A1139="","",IF('Loan Inputs'!$B$14=12,DATE(YEAR('Loan Inputs'!$B$8),MONTH('Loan Inputs'!$B$8)+A1139,DAY('Loan Inputs'!$B$8)),'Loan Inputs'!$B$8+A1139*IF('Loan Inputs'!$B$14=26,14,7)))</f>
        <v/>
      </c>
      <c r="C1139" s="2" t="str">
        <f t="shared" si="53"/>
        <v/>
      </c>
      <c r="D1139" s="2" t="str">
        <f>IF(A1139="","",MIN('Loan Inputs'!$B$17,C1139+E1139)+H1139)</f>
        <v/>
      </c>
      <c r="E1139" s="2" t="str">
        <f>IF(A1139="","",C1139*'Loan Inputs'!$B$15)</f>
        <v/>
      </c>
      <c r="F1139" s="2" t="str">
        <f t="shared" si="51"/>
        <v/>
      </c>
      <c r="G1139" s="2" t="str">
        <f t="shared" si="52"/>
        <v/>
      </c>
      <c r="H1139" s="2" t="str">
        <f>IF(A1139="","",MIN('Loan Inputs'!$B$18,MAX(0,C1139+E1139-'Loan Inputs'!$B$17)))</f>
        <v/>
      </c>
    </row>
    <row r="1140" spans="1:8" ht="22" customHeight="1">
      <c r="A1140" s="1" t="str">
        <f>IF(AND('Loan Inputs'!$B$12,1134&lt;=IF('Loan Inputs'!$B$12,'Loan Inputs'!$B$7,0)*'Loan Inputs'!$B$14+5*'Loan Inputs'!$B$14,ISNUMBER(G1139),G1139&gt;0),1134,"")</f>
        <v/>
      </c>
      <c r="B1140" s="4" t="str">
        <f>IF(A1140="","",IF('Loan Inputs'!$B$14=12,DATE(YEAR('Loan Inputs'!$B$8),MONTH('Loan Inputs'!$B$8)+A1140,DAY('Loan Inputs'!$B$8)),'Loan Inputs'!$B$8+A1140*IF('Loan Inputs'!$B$14=26,14,7)))</f>
        <v/>
      </c>
      <c r="C1140" s="2" t="str">
        <f t="shared" si="53"/>
        <v/>
      </c>
      <c r="D1140" s="2" t="str">
        <f>IF(A1140="","",MIN('Loan Inputs'!$B$17,C1140+E1140)+H1140)</f>
        <v/>
      </c>
      <c r="E1140" s="2" t="str">
        <f>IF(A1140="","",C1140*'Loan Inputs'!$B$15)</f>
        <v/>
      </c>
      <c r="F1140" s="2" t="str">
        <f t="shared" si="51"/>
        <v/>
      </c>
      <c r="G1140" s="2" t="str">
        <f t="shared" si="52"/>
        <v/>
      </c>
      <c r="H1140" s="2" t="str">
        <f>IF(A1140="","",MIN('Loan Inputs'!$B$18,MAX(0,C1140+E1140-'Loan Inputs'!$B$17)))</f>
        <v/>
      </c>
    </row>
    <row r="1141" spans="1:8" ht="22" customHeight="1">
      <c r="A1141" s="1" t="str">
        <f>IF(AND('Loan Inputs'!$B$12,1135&lt;=IF('Loan Inputs'!$B$12,'Loan Inputs'!$B$7,0)*'Loan Inputs'!$B$14+5*'Loan Inputs'!$B$14,ISNUMBER(G1140),G1140&gt;0),1135,"")</f>
        <v/>
      </c>
      <c r="B1141" s="4" t="str">
        <f>IF(A1141="","",IF('Loan Inputs'!$B$14=12,DATE(YEAR('Loan Inputs'!$B$8),MONTH('Loan Inputs'!$B$8)+A1141,DAY('Loan Inputs'!$B$8)),'Loan Inputs'!$B$8+A1141*IF('Loan Inputs'!$B$14=26,14,7)))</f>
        <v/>
      </c>
      <c r="C1141" s="2" t="str">
        <f t="shared" si="53"/>
        <v/>
      </c>
      <c r="D1141" s="2" t="str">
        <f>IF(A1141="","",MIN('Loan Inputs'!$B$17,C1141+E1141)+H1141)</f>
        <v/>
      </c>
      <c r="E1141" s="2" t="str">
        <f>IF(A1141="","",C1141*'Loan Inputs'!$B$15)</f>
        <v/>
      </c>
      <c r="F1141" s="2" t="str">
        <f t="shared" si="51"/>
        <v/>
      </c>
      <c r="G1141" s="2" t="str">
        <f t="shared" si="52"/>
        <v/>
      </c>
      <c r="H1141" s="2" t="str">
        <f>IF(A1141="","",MIN('Loan Inputs'!$B$18,MAX(0,C1141+E1141-'Loan Inputs'!$B$17)))</f>
        <v/>
      </c>
    </row>
    <row r="1142" spans="1:8" ht="22" customHeight="1">
      <c r="A1142" s="1" t="str">
        <f>IF(AND('Loan Inputs'!$B$12,1136&lt;=IF('Loan Inputs'!$B$12,'Loan Inputs'!$B$7,0)*'Loan Inputs'!$B$14+5*'Loan Inputs'!$B$14,ISNUMBER(G1141),G1141&gt;0),1136,"")</f>
        <v/>
      </c>
      <c r="B1142" s="4" t="str">
        <f>IF(A1142="","",IF('Loan Inputs'!$B$14=12,DATE(YEAR('Loan Inputs'!$B$8),MONTH('Loan Inputs'!$B$8)+A1142,DAY('Loan Inputs'!$B$8)),'Loan Inputs'!$B$8+A1142*IF('Loan Inputs'!$B$14=26,14,7)))</f>
        <v/>
      </c>
      <c r="C1142" s="2" t="str">
        <f t="shared" si="53"/>
        <v/>
      </c>
      <c r="D1142" s="2" t="str">
        <f>IF(A1142="","",MIN('Loan Inputs'!$B$17,C1142+E1142)+H1142)</f>
        <v/>
      </c>
      <c r="E1142" s="2" t="str">
        <f>IF(A1142="","",C1142*'Loan Inputs'!$B$15)</f>
        <v/>
      </c>
      <c r="F1142" s="2" t="str">
        <f t="shared" si="51"/>
        <v/>
      </c>
      <c r="G1142" s="2" t="str">
        <f t="shared" si="52"/>
        <v/>
      </c>
      <c r="H1142" s="2" t="str">
        <f>IF(A1142="","",MIN('Loan Inputs'!$B$18,MAX(0,C1142+E1142-'Loan Inputs'!$B$17)))</f>
        <v/>
      </c>
    </row>
    <row r="1143" spans="1:8" ht="22" customHeight="1">
      <c r="A1143" s="1" t="str">
        <f>IF(AND('Loan Inputs'!$B$12,1137&lt;=IF('Loan Inputs'!$B$12,'Loan Inputs'!$B$7,0)*'Loan Inputs'!$B$14+5*'Loan Inputs'!$B$14,ISNUMBER(G1142),G1142&gt;0),1137,"")</f>
        <v/>
      </c>
      <c r="B1143" s="4" t="str">
        <f>IF(A1143="","",IF('Loan Inputs'!$B$14=12,DATE(YEAR('Loan Inputs'!$B$8),MONTH('Loan Inputs'!$B$8)+A1143,DAY('Loan Inputs'!$B$8)),'Loan Inputs'!$B$8+A1143*IF('Loan Inputs'!$B$14=26,14,7)))</f>
        <v/>
      </c>
      <c r="C1143" s="2" t="str">
        <f t="shared" si="53"/>
        <v/>
      </c>
      <c r="D1143" s="2" t="str">
        <f>IF(A1143="","",MIN('Loan Inputs'!$B$17,C1143+E1143)+H1143)</f>
        <v/>
      </c>
      <c r="E1143" s="2" t="str">
        <f>IF(A1143="","",C1143*'Loan Inputs'!$B$15)</f>
        <v/>
      </c>
      <c r="F1143" s="2" t="str">
        <f t="shared" si="51"/>
        <v/>
      </c>
      <c r="G1143" s="2" t="str">
        <f t="shared" si="52"/>
        <v/>
      </c>
      <c r="H1143" s="2" t="str">
        <f>IF(A1143="","",MIN('Loan Inputs'!$B$18,MAX(0,C1143+E1143-'Loan Inputs'!$B$17)))</f>
        <v/>
      </c>
    </row>
    <row r="1144" spans="1:8" ht="22" customHeight="1">
      <c r="A1144" s="1" t="str">
        <f>IF(AND('Loan Inputs'!$B$12,1138&lt;=IF('Loan Inputs'!$B$12,'Loan Inputs'!$B$7,0)*'Loan Inputs'!$B$14+5*'Loan Inputs'!$B$14,ISNUMBER(G1143),G1143&gt;0),1138,"")</f>
        <v/>
      </c>
      <c r="B1144" s="4" t="str">
        <f>IF(A1144="","",IF('Loan Inputs'!$B$14=12,DATE(YEAR('Loan Inputs'!$B$8),MONTH('Loan Inputs'!$B$8)+A1144,DAY('Loan Inputs'!$B$8)),'Loan Inputs'!$B$8+A1144*IF('Loan Inputs'!$B$14=26,14,7)))</f>
        <v/>
      </c>
      <c r="C1144" s="2" t="str">
        <f t="shared" si="53"/>
        <v/>
      </c>
      <c r="D1144" s="2" t="str">
        <f>IF(A1144="","",MIN('Loan Inputs'!$B$17,C1144+E1144)+H1144)</f>
        <v/>
      </c>
      <c r="E1144" s="2" t="str">
        <f>IF(A1144="","",C1144*'Loan Inputs'!$B$15)</f>
        <v/>
      </c>
      <c r="F1144" s="2" t="str">
        <f t="shared" si="51"/>
        <v/>
      </c>
      <c r="G1144" s="2" t="str">
        <f t="shared" si="52"/>
        <v/>
      </c>
      <c r="H1144" s="2" t="str">
        <f>IF(A1144="","",MIN('Loan Inputs'!$B$18,MAX(0,C1144+E1144-'Loan Inputs'!$B$17)))</f>
        <v/>
      </c>
    </row>
    <row r="1145" spans="1:8" ht="22" customHeight="1">
      <c r="A1145" s="1" t="str">
        <f>IF(AND('Loan Inputs'!$B$12,1139&lt;=IF('Loan Inputs'!$B$12,'Loan Inputs'!$B$7,0)*'Loan Inputs'!$B$14+5*'Loan Inputs'!$B$14,ISNUMBER(G1144),G1144&gt;0),1139,"")</f>
        <v/>
      </c>
      <c r="B1145" s="4" t="str">
        <f>IF(A1145="","",IF('Loan Inputs'!$B$14=12,DATE(YEAR('Loan Inputs'!$B$8),MONTH('Loan Inputs'!$B$8)+A1145,DAY('Loan Inputs'!$B$8)),'Loan Inputs'!$B$8+A1145*IF('Loan Inputs'!$B$14=26,14,7)))</f>
        <v/>
      </c>
      <c r="C1145" s="2" t="str">
        <f t="shared" si="53"/>
        <v/>
      </c>
      <c r="D1145" s="2" t="str">
        <f>IF(A1145="","",MIN('Loan Inputs'!$B$17,C1145+E1145)+H1145)</f>
        <v/>
      </c>
      <c r="E1145" s="2" t="str">
        <f>IF(A1145="","",C1145*'Loan Inputs'!$B$15)</f>
        <v/>
      </c>
      <c r="F1145" s="2" t="str">
        <f t="shared" si="51"/>
        <v/>
      </c>
      <c r="G1145" s="2" t="str">
        <f t="shared" si="52"/>
        <v/>
      </c>
      <c r="H1145" s="2" t="str">
        <f>IF(A1145="","",MIN('Loan Inputs'!$B$18,MAX(0,C1145+E1145-'Loan Inputs'!$B$17)))</f>
        <v/>
      </c>
    </row>
    <row r="1146" spans="1:8" ht="22" customHeight="1">
      <c r="A1146" s="1" t="str">
        <f>IF(AND('Loan Inputs'!$B$12,1140&lt;=IF('Loan Inputs'!$B$12,'Loan Inputs'!$B$7,0)*'Loan Inputs'!$B$14+5*'Loan Inputs'!$B$14,ISNUMBER(G1145),G1145&gt;0),1140,"")</f>
        <v/>
      </c>
      <c r="B1146" s="4" t="str">
        <f>IF(A1146="","",IF('Loan Inputs'!$B$14=12,DATE(YEAR('Loan Inputs'!$B$8),MONTH('Loan Inputs'!$B$8)+A1146,DAY('Loan Inputs'!$B$8)),'Loan Inputs'!$B$8+A1146*IF('Loan Inputs'!$B$14=26,14,7)))</f>
        <v/>
      </c>
      <c r="C1146" s="2" t="str">
        <f t="shared" si="53"/>
        <v/>
      </c>
      <c r="D1146" s="2" t="str">
        <f>IF(A1146="","",MIN('Loan Inputs'!$B$17,C1146+E1146)+H1146)</f>
        <v/>
      </c>
      <c r="E1146" s="2" t="str">
        <f>IF(A1146="","",C1146*'Loan Inputs'!$B$15)</f>
        <v/>
      </c>
      <c r="F1146" s="2" t="str">
        <f t="shared" si="51"/>
        <v/>
      </c>
      <c r="G1146" s="2" t="str">
        <f t="shared" si="52"/>
        <v/>
      </c>
      <c r="H1146" s="2" t="str">
        <f>IF(A1146="","",MIN('Loan Inputs'!$B$18,MAX(0,C1146+E1146-'Loan Inputs'!$B$17)))</f>
        <v/>
      </c>
    </row>
    <row r="1147" spans="1:8" ht="22" customHeight="1">
      <c r="A1147" s="1" t="str">
        <f>IF(AND('Loan Inputs'!$B$12,1141&lt;=IF('Loan Inputs'!$B$12,'Loan Inputs'!$B$7,0)*'Loan Inputs'!$B$14+5*'Loan Inputs'!$B$14,ISNUMBER(G1146),G1146&gt;0),1141,"")</f>
        <v/>
      </c>
      <c r="B1147" s="4" t="str">
        <f>IF(A1147="","",IF('Loan Inputs'!$B$14=12,DATE(YEAR('Loan Inputs'!$B$8),MONTH('Loan Inputs'!$B$8)+A1147,DAY('Loan Inputs'!$B$8)),'Loan Inputs'!$B$8+A1147*IF('Loan Inputs'!$B$14=26,14,7)))</f>
        <v/>
      </c>
      <c r="C1147" s="2" t="str">
        <f t="shared" si="53"/>
        <v/>
      </c>
      <c r="D1147" s="2" t="str">
        <f>IF(A1147="","",MIN('Loan Inputs'!$B$17,C1147+E1147)+H1147)</f>
        <v/>
      </c>
      <c r="E1147" s="2" t="str">
        <f>IF(A1147="","",C1147*'Loan Inputs'!$B$15)</f>
        <v/>
      </c>
      <c r="F1147" s="2" t="str">
        <f t="shared" si="51"/>
        <v/>
      </c>
      <c r="G1147" s="2" t="str">
        <f t="shared" si="52"/>
        <v/>
      </c>
      <c r="H1147" s="2" t="str">
        <f>IF(A1147="","",MIN('Loan Inputs'!$B$18,MAX(0,C1147+E1147-'Loan Inputs'!$B$17)))</f>
        <v/>
      </c>
    </row>
    <row r="1148" spans="1:8" ht="22" customHeight="1">
      <c r="A1148" s="1" t="str">
        <f>IF(AND('Loan Inputs'!$B$12,1142&lt;=IF('Loan Inputs'!$B$12,'Loan Inputs'!$B$7,0)*'Loan Inputs'!$B$14+5*'Loan Inputs'!$B$14,ISNUMBER(G1147),G1147&gt;0),1142,"")</f>
        <v/>
      </c>
      <c r="B1148" s="4" t="str">
        <f>IF(A1148="","",IF('Loan Inputs'!$B$14=12,DATE(YEAR('Loan Inputs'!$B$8),MONTH('Loan Inputs'!$B$8)+A1148,DAY('Loan Inputs'!$B$8)),'Loan Inputs'!$B$8+A1148*IF('Loan Inputs'!$B$14=26,14,7)))</f>
        <v/>
      </c>
      <c r="C1148" s="2" t="str">
        <f t="shared" si="53"/>
        <v/>
      </c>
      <c r="D1148" s="2" t="str">
        <f>IF(A1148="","",MIN('Loan Inputs'!$B$17,C1148+E1148)+H1148)</f>
        <v/>
      </c>
      <c r="E1148" s="2" t="str">
        <f>IF(A1148="","",C1148*'Loan Inputs'!$B$15)</f>
        <v/>
      </c>
      <c r="F1148" s="2" t="str">
        <f t="shared" si="51"/>
        <v/>
      </c>
      <c r="G1148" s="2" t="str">
        <f t="shared" si="52"/>
        <v/>
      </c>
      <c r="H1148" s="2" t="str">
        <f>IF(A1148="","",MIN('Loan Inputs'!$B$18,MAX(0,C1148+E1148-'Loan Inputs'!$B$17)))</f>
        <v/>
      </c>
    </row>
    <row r="1149" spans="1:8" ht="22" customHeight="1">
      <c r="A1149" s="1" t="str">
        <f>IF(AND('Loan Inputs'!$B$12,1143&lt;=IF('Loan Inputs'!$B$12,'Loan Inputs'!$B$7,0)*'Loan Inputs'!$B$14+5*'Loan Inputs'!$B$14,ISNUMBER(G1148),G1148&gt;0),1143,"")</f>
        <v/>
      </c>
      <c r="B1149" s="4" t="str">
        <f>IF(A1149="","",IF('Loan Inputs'!$B$14=12,DATE(YEAR('Loan Inputs'!$B$8),MONTH('Loan Inputs'!$B$8)+A1149,DAY('Loan Inputs'!$B$8)),'Loan Inputs'!$B$8+A1149*IF('Loan Inputs'!$B$14=26,14,7)))</f>
        <v/>
      </c>
      <c r="C1149" s="2" t="str">
        <f t="shared" si="53"/>
        <v/>
      </c>
      <c r="D1149" s="2" t="str">
        <f>IF(A1149="","",MIN('Loan Inputs'!$B$17,C1149+E1149)+H1149)</f>
        <v/>
      </c>
      <c r="E1149" s="2" t="str">
        <f>IF(A1149="","",C1149*'Loan Inputs'!$B$15)</f>
        <v/>
      </c>
      <c r="F1149" s="2" t="str">
        <f t="shared" si="51"/>
        <v/>
      </c>
      <c r="G1149" s="2" t="str">
        <f t="shared" si="52"/>
        <v/>
      </c>
      <c r="H1149" s="2" t="str">
        <f>IF(A1149="","",MIN('Loan Inputs'!$B$18,MAX(0,C1149+E1149-'Loan Inputs'!$B$17)))</f>
        <v/>
      </c>
    </row>
    <row r="1150" spans="1:8" ht="22" customHeight="1">
      <c r="A1150" s="1" t="str">
        <f>IF(AND('Loan Inputs'!$B$12,1144&lt;=IF('Loan Inputs'!$B$12,'Loan Inputs'!$B$7,0)*'Loan Inputs'!$B$14+5*'Loan Inputs'!$B$14,ISNUMBER(G1149),G1149&gt;0),1144,"")</f>
        <v/>
      </c>
      <c r="B1150" s="4" t="str">
        <f>IF(A1150="","",IF('Loan Inputs'!$B$14=12,DATE(YEAR('Loan Inputs'!$B$8),MONTH('Loan Inputs'!$B$8)+A1150,DAY('Loan Inputs'!$B$8)),'Loan Inputs'!$B$8+A1150*IF('Loan Inputs'!$B$14=26,14,7)))</f>
        <v/>
      </c>
      <c r="C1150" s="2" t="str">
        <f t="shared" si="53"/>
        <v/>
      </c>
      <c r="D1150" s="2" t="str">
        <f>IF(A1150="","",MIN('Loan Inputs'!$B$17,C1150+E1150)+H1150)</f>
        <v/>
      </c>
      <c r="E1150" s="2" t="str">
        <f>IF(A1150="","",C1150*'Loan Inputs'!$B$15)</f>
        <v/>
      </c>
      <c r="F1150" s="2" t="str">
        <f t="shared" si="51"/>
        <v/>
      </c>
      <c r="G1150" s="2" t="str">
        <f t="shared" si="52"/>
        <v/>
      </c>
      <c r="H1150" s="2" t="str">
        <f>IF(A1150="","",MIN('Loan Inputs'!$B$18,MAX(0,C1150+E1150-'Loan Inputs'!$B$17)))</f>
        <v/>
      </c>
    </row>
    <row r="1151" spans="1:8" ht="22" customHeight="1">
      <c r="A1151" s="1" t="str">
        <f>IF(AND('Loan Inputs'!$B$12,1145&lt;=IF('Loan Inputs'!$B$12,'Loan Inputs'!$B$7,0)*'Loan Inputs'!$B$14+5*'Loan Inputs'!$B$14,ISNUMBER(G1150),G1150&gt;0),1145,"")</f>
        <v/>
      </c>
      <c r="B1151" s="4" t="str">
        <f>IF(A1151="","",IF('Loan Inputs'!$B$14=12,DATE(YEAR('Loan Inputs'!$B$8),MONTH('Loan Inputs'!$B$8)+A1151,DAY('Loan Inputs'!$B$8)),'Loan Inputs'!$B$8+A1151*IF('Loan Inputs'!$B$14=26,14,7)))</f>
        <v/>
      </c>
      <c r="C1151" s="2" t="str">
        <f t="shared" si="53"/>
        <v/>
      </c>
      <c r="D1151" s="2" t="str">
        <f>IF(A1151="","",MIN('Loan Inputs'!$B$17,C1151+E1151)+H1151)</f>
        <v/>
      </c>
      <c r="E1151" s="2" t="str">
        <f>IF(A1151="","",C1151*'Loan Inputs'!$B$15)</f>
        <v/>
      </c>
      <c r="F1151" s="2" t="str">
        <f t="shared" si="51"/>
        <v/>
      </c>
      <c r="G1151" s="2" t="str">
        <f t="shared" si="52"/>
        <v/>
      </c>
      <c r="H1151" s="2" t="str">
        <f>IF(A1151="","",MIN('Loan Inputs'!$B$18,MAX(0,C1151+E1151-'Loan Inputs'!$B$17)))</f>
        <v/>
      </c>
    </row>
    <row r="1152" spans="1:8" ht="22" customHeight="1">
      <c r="A1152" s="1" t="str">
        <f>IF(AND('Loan Inputs'!$B$12,1146&lt;=IF('Loan Inputs'!$B$12,'Loan Inputs'!$B$7,0)*'Loan Inputs'!$B$14+5*'Loan Inputs'!$B$14,ISNUMBER(G1151),G1151&gt;0),1146,"")</f>
        <v/>
      </c>
      <c r="B1152" s="4" t="str">
        <f>IF(A1152="","",IF('Loan Inputs'!$B$14=12,DATE(YEAR('Loan Inputs'!$B$8),MONTH('Loan Inputs'!$B$8)+A1152,DAY('Loan Inputs'!$B$8)),'Loan Inputs'!$B$8+A1152*IF('Loan Inputs'!$B$14=26,14,7)))</f>
        <v/>
      </c>
      <c r="C1152" s="2" t="str">
        <f t="shared" si="53"/>
        <v/>
      </c>
      <c r="D1152" s="2" t="str">
        <f>IF(A1152="","",MIN('Loan Inputs'!$B$17,C1152+E1152)+H1152)</f>
        <v/>
      </c>
      <c r="E1152" s="2" t="str">
        <f>IF(A1152="","",C1152*'Loan Inputs'!$B$15)</f>
        <v/>
      </c>
      <c r="F1152" s="2" t="str">
        <f t="shared" si="51"/>
        <v/>
      </c>
      <c r="G1152" s="2" t="str">
        <f t="shared" si="52"/>
        <v/>
      </c>
      <c r="H1152" s="2" t="str">
        <f>IF(A1152="","",MIN('Loan Inputs'!$B$18,MAX(0,C1152+E1152-'Loan Inputs'!$B$17)))</f>
        <v/>
      </c>
    </row>
    <row r="1153" spans="1:8" ht="22" customHeight="1">
      <c r="A1153" s="1" t="str">
        <f>IF(AND('Loan Inputs'!$B$12,1147&lt;=IF('Loan Inputs'!$B$12,'Loan Inputs'!$B$7,0)*'Loan Inputs'!$B$14+5*'Loan Inputs'!$B$14,ISNUMBER(G1152),G1152&gt;0),1147,"")</f>
        <v/>
      </c>
      <c r="B1153" s="4" t="str">
        <f>IF(A1153="","",IF('Loan Inputs'!$B$14=12,DATE(YEAR('Loan Inputs'!$B$8),MONTH('Loan Inputs'!$B$8)+A1153,DAY('Loan Inputs'!$B$8)),'Loan Inputs'!$B$8+A1153*IF('Loan Inputs'!$B$14=26,14,7)))</f>
        <v/>
      </c>
      <c r="C1153" s="2" t="str">
        <f t="shared" si="53"/>
        <v/>
      </c>
      <c r="D1153" s="2" t="str">
        <f>IF(A1153="","",MIN('Loan Inputs'!$B$17,C1153+E1153)+H1153)</f>
        <v/>
      </c>
      <c r="E1153" s="2" t="str">
        <f>IF(A1153="","",C1153*'Loan Inputs'!$B$15)</f>
        <v/>
      </c>
      <c r="F1153" s="2" t="str">
        <f t="shared" si="51"/>
        <v/>
      </c>
      <c r="G1153" s="2" t="str">
        <f t="shared" si="52"/>
        <v/>
      </c>
      <c r="H1153" s="2" t="str">
        <f>IF(A1153="","",MIN('Loan Inputs'!$B$18,MAX(0,C1153+E1153-'Loan Inputs'!$B$17)))</f>
        <v/>
      </c>
    </row>
    <row r="1154" spans="1:8" ht="22" customHeight="1">
      <c r="A1154" s="1" t="str">
        <f>IF(AND('Loan Inputs'!$B$12,1148&lt;=IF('Loan Inputs'!$B$12,'Loan Inputs'!$B$7,0)*'Loan Inputs'!$B$14+5*'Loan Inputs'!$B$14,ISNUMBER(G1153),G1153&gt;0),1148,"")</f>
        <v/>
      </c>
      <c r="B1154" s="4" t="str">
        <f>IF(A1154="","",IF('Loan Inputs'!$B$14=12,DATE(YEAR('Loan Inputs'!$B$8),MONTH('Loan Inputs'!$B$8)+A1154,DAY('Loan Inputs'!$B$8)),'Loan Inputs'!$B$8+A1154*IF('Loan Inputs'!$B$14=26,14,7)))</f>
        <v/>
      </c>
      <c r="C1154" s="2" t="str">
        <f t="shared" si="53"/>
        <v/>
      </c>
      <c r="D1154" s="2" t="str">
        <f>IF(A1154="","",MIN('Loan Inputs'!$B$17,C1154+E1154)+H1154)</f>
        <v/>
      </c>
      <c r="E1154" s="2" t="str">
        <f>IF(A1154="","",C1154*'Loan Inputs'!$B$15)</f>
        <v/>
      </c>
      <c r="F1154" s="2" t="str">
        <f t="shared" si="51"/>
        <v/>
      </c>
      <c r="G1154" s="2" t="str">
        <f t="shared" si="52"/>
        <v/>
      </c>
      <c r="H1154" s="2" t="str">
        <f>IF(A1154="","",MIN('Loan Inputs'!$B$18,MAX(0,C1154+E1154-'Loan Inputs'!$B$17)))</f>
        <v/>
      </c>
    </row>
    <row r="1155" spans="1:8" ht="22" customHeight="1">
      <c r="A1155" s="1" t="str">
        <f>IF(AND('Loan Inputs'!$B$12,1149&lt;=IF('Loan Inputs'!$B$12,'Loan Inputs'!$B$7,0)*'Loan Inputs'!$B$14+5*'Loan Inputs'!$B$14,ISNUMBER(G1154),G1154&gt;0),1149,"")</f>
        <v/>
      </c>
      <c r="B1155" s="4" t="str">
        <f>IF(A1155="","",IF('Loan Inputs'!$B$14=12,DATE(YEAR('Loan Inputs'!$B$8),MONTH('Loan Inputs'!$B$8)+A1155,DAY('Loan Inputs'!$B$8)),'Loan Inputs'!$B$8+A1155*IF('Loan Inputs'!$B$14=26,14,7)))</f>
        <v/>
      </c>
      <c r="C1155" s="2" t="str">
        <f t="shared" si="53"/>
        <v/>
      </c>
      <c r="D1155" s="2" t="str">
        <f>IF(A1155="","",MIN('Loan Inputs'!$B$17,C1155+E1155)+H1155)</f>
        <v/>
      </c>
      <c r="E1155" s="2" t="str">
        <f>IF(A1155="","",C1155*'Loan Inputs'!$B$15)</f>
        <v/>
      </c>
      <c r="F1155" s="2" t="str">
        <f t="shared" si="51"/>
        <v/>
      </c>
      <c r="G1155" s="2" t="str">
        <f t="shared" si="52"/>
        <v/>
      </c>
      <c r="H1155" s="2" t="str">
        <f>IF(A1155="","",MIN('Loan Inputs'!$B$18,MAX(0,C1155+E1155-'Loan Inputs'!$B$17)))</f>
        <v/>
      </c>
    </row>
    <row r="1156" spans="1:8" ht="22" customHeight="1">
      <c r="A1156" s="1" t="str">
        <f>IF(AND('Loan Inputs'!$B$12,1150&lt;=IF('Loan Inputs'!$B$12,'Loan Inputs'!$B$7,0)*'Loan Inputs'!$B$14+5*'Loan Inputs'!$B$14,ISNUMBER(G1155),G1155&gt;0),1150,"")</f>
        <v/>
      </c>
      <c r="B1156" s="4" t="str">
        <f>IF(A1156="","",IF('Loan Inputs'!$B$14=12,DATE(YEAR('Loan Inputs'!$B$8),MONTH('Loan Inputs'!$B$8)+A1156,DAY('Loan Inputs'!$B$8)),'Loan Inputs'!$B$8+A1156*IF('Loan Inputs'!$B$14=26,14,7)))</f>
        <v/>
      </c>
      <c r="C1156" s="2" t="str">
        <f t="shared" si="53"/>
        <v/>
      </c>
      <c r="D1156" s="2" t="str">
        <f>IF(A1156="","",MIN('Loan Inputs'!$B$17,C1156+E1156)+H1156)</f>
        <v/>
      </c>
      <c r="E1156" s="2" t="str">
        <f>IF(A1156="","",C1156*'Loan Inputs'!$B$15)</f>
        <v/>
      </c>
      <c r="F1156" s="2" t="str">
        <f t="shared" si="51"/>
        <v/>
      </c>
      <c r="G1156" s="2" t="str">
        <f t="shared" si="52"/>
        <v/>
      </c>
      <c r="H1156" s="2" t="str">
        <f>IF(A1156="","",MIN('Loan Inputs'!$B$18,MAX(0,C1156+E1156-'Loan Inputs'!$B$17)))</f>
        <v/>
      </c>
    </row>
    <row r="1157" spans="1:8" ht="22" customHeight="1">
      <c r="A1157" s="1" t="str">
        <f>IF(AND('Loan Inputs'!$B$12,1151&lt;=IF('Loan Inputs'!$B$12,'Loan Inputs'!$B$7,0)*'Loan Inputs'!$B$14+5*'Loan Inputs'!$B$14,ISNUMBER(G1156),G1156&gt;0),1151,"")</f>
        <v/>
      </c>
      <c r="B1157" s="4" t="str">
        <f>IF(A1157="","",IF('Loan Inputs'!$B$14=12,DATE(YEAR('Loan Inputs'!$B$8),MONTH('Loan Inputs'!$B$8)+A1157,DAY('Loan Inputs'!$B$8)),'Loan Inputs'!$B$8+A1157*IF('Loan Inputs'!$B$14=26,14,7)))</f>
        <v/>
      </c>
      <c r="C1157" s="2" t="str">
        <f t="shared" si="53"/>
        <v/>
      </c>
      <c r="D1157" s="2" t="str">
        <f>IF(A1157="","",MIN('Loan Inputs'!$B$17,C1157+E1157)+H1157)</f>
        <v/>
      </c>
      <c r="E1157" s="2" t="str">
        <f>IF(A1157="","",C1157*'Loan Inputs'!$B$15)</f>
        <v/>
      </c>
      <c r="F1157" s="2" t="str">
        <f t="shared" si="51"/>
        <v/>
      </c>
      <c r="G1157" s="2" t="str">
        <f t="shared" si="52"/>
        <v/>
      </c>
      <c r="H1157" s="2" t="str">
        <f>IF(A1157="","",MIN('Loan Inputs'!$B$18,MAX(0,C1157+E1157-'Loan Inputs'!$B$17)))</f>
        <v/>
      </c>
    </row>
    <row r="1158" spans="1:8" ht="22" customHeight="1">
      <c r="A1158" s="1" t="str">
        <f>IF(AND('Loan Inputs'!$B$12,1152&lt;=IF('Loan Inputs'!$B$12,'Loan Inputs'!$B$7,0)*'Loan Inputs'!$B$14+5*'Loan Inputs'!$B$14,ISNUMBER(G1157),G1157&gt;0),1152,"")</f>
        <v/>
      </c>
      <c r="B1158" s="4" t="str">
        <f>IF(A1158="","",IF('Loan Inputs'!$B$14=12,DATE(YEAR('Loan Inputs'!$B$8),MONTH('Loan Inputs'!$B$8)+A1158,DAY('Loan Inputs'!$B$8)),'Loan Inputs'!$B$8+A1158*IF('Loan Inputs'!$B$14=26,14,7)))</f>
        <v/>
      </c>
      <c r="C1158" s="2" t="str">
        <f t="shared" si="53"/>
        <v/>
      </c>
      <c r="D1158" s="2" t="str">
        <f>IF(A1158="","",MIN('Loan Inputs'!$B$17,C1158+E1158)+H1158)</f>
        <v/>
      </c>
      <c r="E1158" s="2" t="str">
        <f>IF(A1158="","",C1158*'Loan Inputs'!$B$15)</f>
        <v/>
      </c>
      <c r="F1158" s="2" t="str">
        <f t="shared" si="51"/>
        <v/>
      </c>
      <c r="G1158" s="2" t="str">
        <f t="shared" si="52"/>
        <v/>
      </c>
      <c r="H1158" s="2" t="str">
        <f>IF(A1158="","",MIN('Loan Inputs'!$B$18,MAX(0,C1158+E1158-'Loan Inputs'!$B$17)))</f>
        <v/>
      </c>
    </row>
    <row r="1159" spans="1:8" ht="22" customHeight="1">
      <c r="A1159" s="1" t="str">
        <f>IF(AND('Loan Inputs'!$B$12,1153&lt;=IF('Loan Inputs'!$B$12,'Loan Inputs'!$B$7,0)*'Loan Inputs'!$B$14+5*'Loan Inputs'!$B$14,ISNUMBER(G1158),G1158&gt;0),1153,"")</f>
        <v/>
      </c>
      <c r="B1159" s="4" t="str">
        <f>IF(A1159="","",IF('Loan Inputs'!$B$14=12,DATE(YEAR('Loan Inputs'!$B$8),MONTH('Loan Inputs'!$B$8)+A1159,DAY('Loan Inputs'!$B$8)),'Loan Inputs'!$B$8+A1159*IF('Loan Inputs'!$B$14=26,14,7)))</f>
        <v/>
      </c>
      <c r="C1159" s="2" t="str">
        <f t="shared" si="53"/>
        <v/>
      </c>
      <c r="D1159" s="2" t="str">
        <f>IF(A1159="","",MIN('Loan Inputs'!$B$17,C1159+E1159)+H1159)</f>
        <v/>
      </c>
      <c r="E1159" s="2" t="str">
        <f>IF(A1159="","",C1159*'Loan Inputs'!$B$15)</f>
        <v/>
      </c>
      <c r="F1159" s="2" t="str">
        <f t="shared" ref="F1159:F1222" si="54">IF(A1159="","",MIN(C1159,D1159-E1159))</f>
        <v/>
      </c>
      <c r="G1159" s="2" t="str">
        <f t="shared" ref="G1159:G1222" si="55">IF(A1159="","",IF(C1159-F1159&lt;0.0000001,0,MAX(0,C1159-F1159)))</f>
        <v/>
      </c>
      <c r="H1159" s="2" t="str">
        <f>IF(A1159="","",MIN('Loan Inputs'!$B$18,MAX(0,C1159+E1159-'Loan Inputs'!$B$17)))</f>
        <v/>
      </c>
    </row>
    <row r="1160" spans="1:8" ht="22" customHeight="1">
      <c r="A1160" s="1" t="str">
        <f>IF(AND('Loan Inputs'!$B$12,1154&lt;=IF('Loan Inputs'!$B$12,'Loan Inputs'!$B$7,0)*'Loan Inputs'!$B$14+5*'Loan Inputs'!$B$14,ISNUMBER(G1159),G1159&gt;0),1154,"")</f>
        <v/>
      </c>
      <c r="B1160" s="4" t="str">
        <f>IF(A1160="","",IF('Loan Inputs'!$B$14=12,DATE(YEAR('Loan Inputs'!$B$8),MONTH('Loan Inputs'!$B$8)+A1160,DAY('Loan Inputs'!$B$8)),'Loan Inputs'!$B$8+A1160*IF('Loan Inputs'!$B$14=26,14,7)))</f>
        <v/>
      </c>
      <c r="C1160" s="2" t="str">
        <f t="shared" ref="C1160:C1223" si="56">IF(A1160="","",G1159)</f>
        <v/>
      </c>
      <c r="D1160" s="2" t="str">
        <f>IF(A1160="","",MIN('Loan Inputs'!$B$17,C1160+E1160)+H1160)</f>
        <v/>
      </c>
      <c r="E1160" s="2" t="str">
        <f>IF(A1160="","",C1160*'Loan Inputs'!$B$15)</f>
        <v/>
      </c>
      <c r="F1160" s="2" t="str">
        <f t="shared" si="54"/>
        <v/>
      </c>
      <c r="G1160" s="2" t="str">
        <f t="shared" si="55"/>
        <v/>
      </c>
      <c r="H1160" s="2" t="str">
        <f>IF(A1160="","",MIN('Loan Inputs'!$B$18,MAX(0,C1160+E1160-'Loan Inputs'!$B$17)))</f>
        <v/>
      </c>
    </row>
    <row r="1161" spans="1:8" ht="22" customHeight="1">
      <c r="A1161" s="1" t="str">
        <f>IF(AND('Loan Inputs'!$B$12,1155&lt;=IF('Loan Inputs'!$B$12,'Loan Inputs'!$B$7,0)*'Loan Inputs'!$B$14+5*'Loan Inputs'!$B$14,ISNUMBER(G1160),G1160&gt;0),1155,"")</f>
        <v/>
      </c>
      <c r="B1161" s="4" t="str">
        <f>IF(A1161="","",IF('Loan Inputs'!$B$14=12,DATE(YEAR('Loan Inputs'!$B$8),MONTH('Loan Inputs'!$B$8)+A1161,DAY('Loan Inputs'!$B$8)),'Loan Inputs'!$B$8+A1161*IF('Loan Inputs'!$B$14=26,14,7)))</f>
        <v/>
      </c>
      <c r="C1161" s="2" t="str">
        <f t="shared" si="56"/>
        <v/>
      </c>
      <c r="D1161" s="2" t="str">
        <f>IF(A1161="","",MIN('Loan Inputs'!$B$17,C1161+E1161)+H1161)</f>
        <v/>
      </c>
      <c r="E1161" s="2" t="str">
        <f>IF(A1161="","",C1161*'Loan Inputs'!$B$15)</f>
        <v/>
      </c>
      <c r="F1161" s="2" t="str">
        <f t="shared" si="54"/>
        <v/>
      </c>
      <c r="G1161" s="2" t="str">
        <f t="shared" si="55"/>
        <v/>
      </c>
      <c r="H1161" s="2" t="str">
        <f>IF(A1161="","",MIN('Loan Inputs'!$B$18,MAX(0,C1161+E1161-'Loan Inputs'!$B$17)))</f>
        <v/>
      </c>
    </row>
    <row r="1162" spans="1:8" ht="22" customHeight="1">
      <c r="A1162" s="1" t="str">
        <f>IF(AND('Loan Inputs'!$B$12,1156&lt;=IF('Loan Inputs'!$B$12,'Loan Inputs'!$B$7,0)*'Loan Inputs'!$B$14+5*'Loan Inputs'!$B$14,ISNUMBER(G1161),G1161&gt;0),1156,"")</f>
        <v/>
      </c>
      <c r="B1162" s="4" t="str">
        <f>IF(A1162="","",IF('Loan Inputs'!$B$14=12,DATE(YEAR('Loan Inputs'!$B$8),MONTH('Loan Inputs'!$B$8)+A1162,DAY('Loan Inputs'!$B$8)),'Loan Inputs'!$B$8+A1162*IF('Loan Inputs'!$B$14=26,14,7)))</f>
        <v/>
      </c>
      <c r="C1162" s="2" t="str">
        <f t="shared" si="56"/>
        <v/>
      </c>
      <c r="D1162" s="2" t="str">
        <f>IF(A1162="","",MIN('Loan Inputs'!$B$17,C1162+E1162)+H1162)</f>
        <v/>
      </c>
      <c r="E1162" s="2" t="str">
        <f>IF(A1162="","",C1162*'Loan Inputs'!$B$15)</f>
        <v/>
      </c>
      <c r="F1162" s="2" t="str">
        <f t="shared" si="54"/>
        <v/>
      </c>
      <c r="G1162" s="2" t="str">
        <f t="shared" si="55"/>
        <v/>
      </c>
      <c r="H1162" s="2" t="str">
        <f>IF(A1162="","",MIN('Loan Inputs'!$B$18,MAX(0,C1162+E1162-'Loan Inputs'!$B$17)))</f>
        <v/>
      </c>
    </row>
    <row r="1163" spans="1:8" ht="22" customHeight="1">
      <c r="A1163" s="1" t="str">
        <f>IF(AND('Loan Inputs'!$B$12,1157&lt;=IF('Loan Inputs'!$B$12,'Loan Inputs'!$B$7,0)*'Loan Inputs'!$B$14+5*'Loan Inputs'!$B$14,ISNUMBER(G1162),G1162&gt;0),1157,"")</f>
        <v/>
      </c>
      <c r="B1163" s="4" t="str">
        <f>IF(A1163="","",IF('Loan Inputs'!$B$14=12,DATE(YEAR('Loan Inputs'!$B$8),MONTH('Loan Inputs'!$B$8)+A1163,DAY('Loan Inputs'!$B$8)),'Loan Inputs'!$B$8+A1163*IF('Loan Inputs'!$B$14=26,14,7)))</f>
        <v/>
      </c>
      <c r="C1163" s="2" t="str">
        <f t="shared" si="56"/>
        <v/>
      </c>
      <c r="D1163" s="2" t="str">
        <f>IF(A1163="","",MIN('Loan Inputs'!$B$17,C1163+E1163)+H1163)</f>
        <v/>
      </c>
      <c r="E1163" s="2" t="str">
        <f>IF(A1163="","",C1163*'Loan Inputs'!$B$15)</f>
        <v/>
      </c>
      <c r="F1163" s="2" t="str">
        <f t="shared" si="54"/>
        <v/>
      </c>
      <c r="G1163" s="2" t="str">
        <f t="shared" si="55"/>
        <v/>
      </c>
      <c r="H1163" s="2" t="str">
        <f>IF(A1163="","",MIN('Loan Inputs'!$B$18,MAX(0,C1163+E1163-'Loan Inputs'!$B$17)))</f>
        <v/>
      </c>
    </row>
    <row r="1164" spans="1:8" ht="22" customHeight="1">
      <c r="A1164" s="1" t="str">
        <f>IF(AND('Loan Inputs'!$B$12,1158&lt;=IF('Loan Inputs'!$B$12,'Loan Inputs'!$B$7,0)*'Loan Inputs'!$B$14+5*'Loan Inputs'!$B$14,ISNUMBER(G1163),G1163&gt;0),1158,"")</f>
        <v/>
      </c>
      <c r="B1164" s="4" t="str">
        <f>IF(A1164="","",IF('Loan Inputs'!$B$14=12,DATE(YEAR('Loan Inputs'!$B$8),MONTH('Loan Inputs'!$B$8)+A1164,DAY('Loan Inputs'!$B$8)),'Loan Inputs'!$B$8+A1164*IF('Loan Inputs'!$B$14=26,14,7)))</f>
        <v/>
      </c>
      <c r="C1164" s="2" t="str">
        <f t="shared" si="56"/>
        <v/>
      </c>
      <c r="D1164" s="2" t="str">
        <f>IF(A1164="","",MIN('Loan Inputs'!$B$17,C1164+E1164)+H1164)</f>
        <v/>
      </c>
      <c r="E1164" s="2" t="str">
        <f>IF(A1164="","",C1164*'Loan Inputs'!$B$15)</f>
        <v/>
      </c>
      <c r="F1164" s="2" t="str">
        <f t="shared" si="54"/>
        <v/>
      </c>
      <c r="G1164" s="2" t="str">
        <f t="shared" si="55"/>
        <v/>
      </c>
      <c r="H1164" s="2" t="str">
        <f>IF(A1164="","",MIN('Loan Inputs'!$B$18,MAX(0,C1164+E1164-'Loan Inputs'!$B$17)))</f>
        <v/>
      </c>
    </row>
    <row r="1165" spans="1:8" ht="22" customHeight="1">
      <c r="A1165" s="1" t="str">
        <f>IF(AND('Loan Inputs'!$B$12,1159&lt;=IF('Loan Inputs'!$B$12,'Loan Inputs'!$B$7,0)*'Loan Inputs'!$B$14+5*'Loan Inputs'!$B$14,ISNUMBER(G1164),G1164&gt;0),1159,"")</f>
        <v/>
      </c>
      <c r="B1165" s="4" t="str">
        <f>IF(A1165="","",IF('Loan Inputs'!$B$14=12,DATE(YEAR('Loan Inputs'!$B$8),MONTH('Loan Inputs'!$B$8)+A1165,DAY('Loan Inputs'!$B$8)),'Loan Inputs'!$B$8+A1165*IF('Loan Inputs'!$B$14=26,14,7)))</f>
        <v/>
      </c>
      <c r="C1165" s="2" t="str">
        <f t="shared" si="56"/>
        <v/>
      </c>
      <c r="D1165" s="2" t="str">
        <f>IF(A1165="","",MIN('Loan Inputs'!$B$17,C1165+E1165)+H1165)</f>
        <v/>
      </c>
      <c r="E1165" s="2" t="str">
        <f>IF(A1165="","",C1165*'Loan Inputs'!$B$15)</f>
        <v/>
      </c>
      <c r="F1165" s="2" t="str">
        <f t="shared" si="54"/>
        <v/>
      </c>
      <c r="G1165" s="2" t="str">
        <f t="shared" si="55"/>
        <v/>
      </c>
      <c r="H1165" s="2" t="str">
        <f>IF(A1165="","",MIN('Loan Inputs'!$B$18,MAX(0,C1165+E1165-'Loan Inputs'!$B$17)))</f>
        <v/>
      </c>
    </row>
    <row r="1166" spans="1:8" ht="22" customHeight="1">
      <c r="A1166" s="1" t="str">
        <f>IF(AND('Loan Inputs'!$B$12,1160&lt;=IF('Loan Inputs'!$B$12,'Loan Inputs'!$B$7,0)*'Loan Inputs'!$B$14+5*'Loan Inputs'!$B$14,ISNUMBER(G1165),G1165&gt;0),1160,"")</f>
        <v/>
      </c>
      <c r="B1166" s="4" t="str">
        <f>IF(A1166="","",IF('Loan Inputs'!$B$14=12,DATE(YEAR('Loan Inputs'!$B$8),MONTH('Loan Inputs'!$B$8)+A1166,DAY('Loan Inputs'!$B$8)),'Loan Inputs'!$B$8+A1166*IF('Loan Inputs'!$B$14=26,14,7)))</f>
        <v/>
      </c>
      <c r="C1166" s="2" t="str">
        <f t="shared" si="56"/>
        <v/>
      </c>
      <c r="D1166" s="2" t="str">
        <f>IF(A1166="","",MIN('Loan Inputs'!$B$17,C1166+E1166)+H1166)</f>
        <v/>
      </c>
      <c r="E1166" s="2" t="str">
        <f>IF(A1166="","",C1166*'Loan Inputs'!$B$15)</f>
        <v/>
      </c>
      <c r="F1166" s="2" t="str">
        <f t="shared" si="54"/>
        <v/>
      </c>
      <c r="G1166" s="2" t="str">
        <f t="shared" si="55"/>
        <v/>
      </c>
      <c r="H1166" s="2" t="str">
        <f>IF(A1166="","",MIN('Loan Inputs'!$B$18,MAX(0,C1166+E1166-'Loan Inputs'!$B$17)))</f>
        <v/>
      </c>
    </row>
    <row r="1167" spans="1:8" ht="22" customHeight="1">
      <c r="A1167" s="1" t="str">
        <f>IF(AND('Loan Inputs'!$B$12,1161&lt;=IF('Loan Inputs'!$B$12,'Loan Inputs'!$B$7,0)*'Loan Inputs'!$B$14+5*'Loan Inputs'!$B$14,ISNUMBER(G1166),G1166&gt;0),1161,"")</f>
        <v/>
      </c>
      <c r="B1167" s="4" t="str">
        <f>IF(A1167="","",IF('Loan Inputs'!$B$14=12,DATE(YEAR('Loan Inputs'!$B$8),MONTH('Loan Inputs'!$B$8)+A1167,DAY('Loan Inputs'!$B$8)),'Loan Inputs'!$B$8+A1167*IF('Loan Inputs'!$B$14=26,14,7)))</f>
        <v/>
      </c>
      <c r="C1167" s="2" t="str">
        <f t="shared" si="56"/>
        <v/>
      </c>
      <c r="D1167" s="2" t="str">
        <f>IF(A1167="","",MIN('Loan Inputs'!$B$17,C1167+E1167)+H1167)</f>
        <v/>
      </c>
      <c r="E1167" s="2" t="str">
        <f>IF(A1167="","",C1167*'Loan Inputs'!$B$15)</f>
        <v/>
      </c>
      <c r="F1167" s="2" t="str">
        <f t="shared" si="54"/>
        <v/>
      </c>
      <c r="G1167" s="2" t="str">
        <f t="shared" si="55"/>
        <v/>
      </c>
      <c r="H1167" s="2" t="str">
        <f>IF(A1167="","",MIN('Loan Inputs'!$B$18,MAX(0,C1167+E1167-'Loan Inputs'!$B$17)))</f>
        <v/>
      </c>
    </row>
    <row r="1168" spans="1:8" ht="22" customHeight="1">
      <c r="A1168" s="1" t="str">
        <f>IF(AND('Loan Inputs'!$B$12,1162&lt;=IF('Loan Inputs'!$B$12,'Loan Inputs'!$B$7,0)*'Loan Inputs'!$B$14+5*'Loan Inputs'!$B$14,ISNUMBER(G1167),G1167&gt;0),1162,"")</f>
        <v/>
      </c>
      <c r="B1168" s="4" t="str">
        <f>IF(A1168="","",IF('Loan Inputs'!$B$14=12,DATE(YEAR('Loan Inputs'!$B$8),MONTH('Loan Inputs'!$B$8)+A1168,DAY('Loan Inputs'!$B$8)),'Loan Inputs'!$B$8+A1168*IF('Loan Inputs'!$B$14=26,14,7)))</f>
        <v/>
      </c>
      <c r="C1168" s="2" t="str">
        <f t="shared" si="56"/>
        <v/>
      </c>
      <c r="D1168" s="2" t="str">
        <f>IF(A1168="","",MIN('Loan Inputs'!$B$17,C1168+E1168)+H1168)</f>
        <v/>
      </c>
      <c r="E1168" s="2" t="str">
        <f>IF(A1168="","",C1168*'Loan Inputs'!$B$15)</f>
        <v/>
      </c>
      <c r="F1168" s="2" t="str">
        <f t="shared" si="54"/>
        <v/>
      </c>
      <c r="G1168" s="2" t="str">
        <f t="shared" si="55"/>
        <v/>
      </c>
      <c r="H1168" s="2" t="str">
        <f>IF(A1168="","",MIN('Loan Inputs'!$B$18,MAX(0,C1168+E1168-'Loan Inputs'!$B$17)))</f>
        <v/>
      </c>
    </row>
    <row r="1169" spans="1:8" ht="22" customHeight="1">
      <c r="A1169" s="1" t="str">
        <f>IF(AND('Loan Inputs'!$B$12,1163&lt;=IF('Loan Inputs'!$B$12,'Loan Inputs'!$B$7,0)*'Loan Inputs'!$B$14+5*'Loan Inputs'!$B$14,ISNUMBER(G1168),G1168&gt;0),1163,"")</f>
        <v/>
      </c>
      <c r="B1169" s="4" t="str">
        <f>IF(A1169="","",IF('Loan Inputs'!$B$14=12,DATE(YEAR('Loan Inputs'!$B$8),MONTH('Loan Inputs'!$B$8)+A1169,DAY('Loan Inputs'!$B$8)),'Loan Inputs'!$B$8+A1169*IF('Loan Inputs'!$B$14=26,14,7)))</f>
        <v/>
      </c>
      <c r="C1169" s="2" t="str">
        <f t="shared" si="56"/>
        <v/>
      </c>
      <c r="D1169" s="2" t="str">
        <f>IF(A1169="","",MIN('Loan Inputs'!$B$17,C1169+E1169)+H1169)</f>
        <v/>
      </c>
      <c r="E1169" s="2" t="str">
        <f>IF(A1169="","",C1169*'Loan Inputs'!$B$15)</f>
        <v/>
      </c>
      <c r="F1169" s="2" t="str">
        <f t="shared" si="54"/>
        <v/>
      </c>
      <c r="G1169" s="2" t="str">
        <f t="shared" si="55"/>
        <v/>
      </c>
      <c r="H1169" s="2" t="str">
        <f>IF(A1169="","",MIN('Loan Inputs'!$B$18,MAX(0,C1169+E1169-'Loan Inputs'!$B$17)))</f>
        <v/>
      </c>
    </row>
    <row r="1170" spans="1:8" ht="22" customHeight="1">
      <c r="A1170" s="1" t="str">
        <f>IF(AND('Loan Inputs'!$B$12,1164&lt;=IF('Loan Inputs'!$B$12,'Loan Inputs'!$B$7,0)*'Loan Inputs'!$B$14+5*'Loan Inputs'!$B$14,ISNUMBER(G1169),G1169&gt;0),1164,"")</f>
        <v/>
      </c>
      <c r="B1170" s="4" t="str">
        <f>IF(A1170="","",IF('Loan Inputs'!$B$14=12,DATE(YEAR('Loan Inputs'!$B$8),MONTH('Loan Inputs'!$B$8)+A1170,DAY('Loan Inputs'!$B$8)),'Loan Inputs'!$B$8+A1170*IF('Loan Inputs'!$B$14=26,14,7)))</f>
        <v/>
      </c>
      <c r="C1170" s="2" t="str">
        <f t="shared" si="56"/>
        <v/>
      </c>
      <c r="D1170" s="2" t="str">
        <f>IF(A1170="","",MIN('Loan Inputs'!$B$17,C1170+E1170)+H1170)</f>
        <v/>
      </c>
      <c r="E1170" s="2" t="str">
        <f>IF(A1170="","",C1170*'Loan Inputs'!$B$15)</f>
        <v/>
      </c>
      <c r="F1170" s="2" t="str">
        <f t="shared" si="54"/>
        <v/>
      </c>
      <c r="G1170" s="2" t="str">
        <f t="shared" si="55"/>
        <v/>
      </c>
      <c r="H1170" s="2" t="str">
        <f>IF(A1170="","",MIN('Loan Inputs'!$B$18,MAX(0,C1170+E1170-'Loan Inputs'!$B$17)))</f>
        <v/>
      </c>
    </row>
    <row r="1171" spans="1:8" ht="22" customHeight="1">
      <c r="A1171" s="1" t="str">
        <f>IF(AND('Loan Inputs'!$B$12,1165&lt;=IF('Loan Inputs'!$B$12,'Loan Inputs'!$B$7,0)*'Loan Inputs'!$B$14+5*'Loan Inputs'!$B$14,ISNUMBER(G1170),G1170&gt;0),1165,"")</f>
        <v/>
      </c>
      <c r="B1171" s="4" t="str">
        <f>IF(A1171="","",IF('Loan Inputs'!$B$14=12,DATE(YEAR('Loan Inputs'!$B$8),MONTH('Loan Inputs'!$B$8)+A1171,DAY('Loan Inputs'!$B$8)),'Loan Inputs'!$B$8+A1171*IF('Loan Inputs'!$B$14=26,14,7)))</f>
        <v/>
      </c>
      <c r="C1171" s="2" t="str">
        <f t="shared" si="56"/>
        <v/>
      </c>
      <c r="D1171" s="2" t="str">
        <f>IF(A1171="","",MIN('Loan Inputs'!$B$17,C1171+E1171)+H1171)</f>
        <v/>
      </c>
      <c r="E1171" s="2" t="str">
        <f>IF(A1171="","",C1171*'Loan Inputs'!$B$15)</f>
        <v/>
      </c>
      <c r="F1171" s="2" t="str">
        <f t="shared" si="54"/>
        <v/>
      </c>
      <c r="G1171" s="2" t="str">
        <f t="shared" si="55"/>
        <v/>
      </c>
      <c r="H1171" s="2" t="str">
        <f>IF(A1171="","",MIN('Loan Inputs'!$B$18,MAX(0,C1171+E1171-'Loan Inputs'!$B$17)))</f>
        <v/>
      </c>
    </row>
    <row r="1172" spans="1:8" ht="22" customHeight="1">
      <c r="A1172" s="1" t="str">
        <f>IF(AND('Loan Inputs'!$B$12,1166&lt;=IF('Loan Inputs'!$B$12,'Loan Inputs'!$B$7,0)*'Loan Inputs'!$B$14+5*'Loan Inputs'!$B$14,ISNUMBER(G1171),G1171&gt;0),1166,"")</f>
        <v/>
      </c>
      <c r="B1172" s="4" t="str">
        <f>IF(A1172="","",IF('Loan Inputs'!$B$14=12,DATE(YEAR('Loan Inputs'!$B$8),MONTH('Loan Inputs'!$B$8)+A1172,DAY('Loan Inputs'!$B$8)),'Loan Inputs'!$B$8+A1172*IF('Loan Inputs'!$B$14=26,14,7)))</f>
        <v/>
      </c>
      <c r="C1172" s="2" t="str">
        <f t="shared" si="56"/>
        <v/>
      </c>
      <c r="D1172" s="2" t="str">
        <f>IF(A1172="","",MIN('Loan Inputs'!$B$17,C1172+E1172)+H1172)</f>
        <v/>
      </c>
      <c r="E1172" s="2" t="str">
        <f>IF(A1172="","",C1172*'Loan Inputs'!$B$15)</f>
        <v/>
      </c>
      <c r="F1172" s="2" t="str">
        <f t="shared" si="54"/>
        <v/>
      </c>
      <c r="G1172" s="2" t="str">
        <f t="shared" si="55"/>
        <v/>
      </c>
      <c r="H1172" s="2" t="str">
        <f>IF(A1172="","",MIN('Loan Inputs'!$B$18,MAX(0,C1172+E1172-'Loan Inputs'!$B$17)))</f>
        <v/>
      </c>
    </row>
    <row r="1173" spans="1:8" ht="22" customHeight="1">
      <c r="A1173" s="1" t="str">
        <f>IF(AND('Loan Inputs'!$B$12,1167&lt;=IF('Loan Inputs'!$B$12,'Loan Inputs'!$B$7,0)*'Loan Inputs'!$B$14+5*'Loan Inputs'!$B$14,ISNUMBER(G1172),G1172&gt;0),1167,"")</f>
        <v/>
      </c>
      <c r="B1173" s="4" t="str">
        <f>IF(A1173="","",IF('Loan Inputs'!$B$14=12,DATE(YEAR('Loan Inputs'!$B$8),MONTH('Loan Inputs'!$B$8)+A1173,DAY('Loan Inputs'!$B$8)),'Loan Inputs'!$B$8+A1173*IF('Loan Inputs'!$B$14=26,14,7)))</f>
        <v/>
      </c>
      <c r="C1173" s="2" t="str">
        <f t="shared" si="56"/>
        <v/>
      </c>
      <c r="D1173" s="2" t="str">
        <f>IF(A1173="","",MIN('Loan Inputs'!$B$17,C1173+E1173)+H1173)</f>
        <v/>
      </c>
      <c r="E1173" s="2" t="str">
        <f>IF(A1173="","",C1173*'Loan Inputs'!$B$15)</f>
        <v/>
      </c>
      <c r="F1173" s="2" t="str">
        <f t="shared" si="54"/>
        <v/>
      </c>
      <c r="G1173" s="2" t="str">
        <f t="shared" si="55"/>
        <v/>
      </c>
      <c r="H1173" s="2" t="str">
        <f>IF(A1173="","",MIN('Loan Inputs'!$B$18,MAX(0,C1173+E1173-'Loan Inputs'!$B$17)))</f>
        <v/>
      </c>
    </row>
    <row r="1174" spans="1:8" ht="22" customHeight="1">
      <c r="A1174" s="1" t="str">
        <f>IF(AND('Loan Inputs'!$B$12,1168&lt;=IF('Loan Inputs'!$B$12,'Loan Inputs'!$B$7,0)*'Loan Inputs'!$B$14+5*'Loan Inputs'!$B$14,ISNUMBER(G1173),G1173&gt;0),1168,"")</f>
        <v/>
      </c>
      <c r="B1174" s="4" t="str">
        <f>IF(A1174="","",IF('Loan Inputs'!$B$14=12,DATE(YEAR('Loan Inputs'!$B$8),MONTH('Loan Inputs'!$B$8)+A1174,DAY('Loan Inputs'!$B$8)),'Loan Inputs'!$B$8+A1174*IF('Loan Inputs'!$B$14=26,14,7)))</f>
        <v/>
      </c>
      <c r="C1174" s="2" t="str">
        <f t="shared" si="56"/>
        <v/>
      </c>
      <c r="D1174" s="2" t="str">
        <f>IF(A1174="","",MIN('Loan Inputs'!$B$17,C1174+E1174)+H1174)</f>
        <v/>
      </c>
      <c r="E1174" s="2" t="str">
        <f>IF(A1174="","",C1174*'Loan Inputs'!$B$15)</f>
        <v/>
      </c>
      <c r="F1174" s="2" t="str">
        <f t="shared" si="54"/>
        <v/>
      </c>
      <c r="G1174" s="2" t="str">
        <f t="shared" si="55"/>
        <v/>
      </c>
      <c r="H1174" s="2" t="str">
        <f>IF(A1174="","",MIN('Loan Inputs'!$B$18,MAX(0,C1174+E1174-'Loan Inputs'!$B$17)))</f>
        <v/>
      </c>
    </row>
    <row r="1175" spans="1:8" ht="22" customHeight="1">
      <c r="A1175" s="1" t="str">
        <f>IF(AND('Loan Inputs'!$B$12,1169&lt;=IF('Loan Inputs'!$B$12,'Loan Inputs'!$B$7,0)*'Loan Inputs'!$B$14+5*'Loan Inputs'!$B$14,ISNUMBER(G1174),G1174&gt;0),1169,"")</f>
        <v/>
      </c>
      <c r="B1175" s="4" t="str">
        <f>IF(A1175="","",IF('Loan Inputs'!$B$14=12,DATE(YEAR('Loan Inputs'!$B$8),MONTH('Loan Inputs'!$B$8)+A1175,DAY('Loan Inputs'!$B$8)),'Loan Inputs'!$B$8+A1175*IF('Loan Inputs'!$B$14=26,14,7)))</f>
        <v/>
      </c>
      <c r="C1175" s="2" t="str">
        <f t="shared" si="56"/>
        <v/>
      </c>
      <c r="D1175" s="2" t="str">
        <f>IF(A1175="","",MIN('Loan Inputs'!$B$17,C1175+E1175)+H1175)</f>
        <v/>
      </c>
      <c r="E1175" s="2" t="str">
        <f>IF(A1175="","",C1175*'Loan Inputs'!$B$15)</f>
        <v/>
      </c>
      <c r="F1175" s="2" t="str">
        <f t="shared" si="54"/>
        <v/>
      </c>
      <c r="G1175" s="2" t="str">
        <f t="shared" si="55"/>
        <v/>
      </c>
      <c r="H1175" s="2" t="str">
        <f>IF(A1175="","",MIN('Loan Inputs'!$B$18,MAX(0,C1175+E1175-'Loan Inputs'!$B$17)))</f>
        <v/>
      </c>
    </row>
    <row r="1176" spans="1:8" ht="22" customHeight="1">
      <c r="A1176" s="1" t="str">
        <f>IF(AND('Loan Inputs'!$B$12,1170&lt;=IF('Loan Inputs'!$B$12,'Loan Inputs'!$B$7,0)*'Loan Inputs'!$B$14+5*'Loan Inputs'!$B$14,ISNUMBER(G1175),G1175&gt;0),1170,"")</f>
        <v/>
      </c>
      <c r="B1176" s="4" t="str">
        <f>IF(A1176="","",IF('Loan Inputs'!$B$14=12,DATE(YEAR('Loan Inputs'!$B$8),MONTH('Loan Inputs'!$B$8)+A1176,DAY('Loan Inputs'!$B$8)),'Loan Inputs'!$B$8+A1176*IF('Loan Inputs'!$B$14=26,14,7)))</f>
        <v/>
      </c>
      <c r="C1176" s="2" t="str">
        <f t="shared" si="56"/>
        <v/>
      </c>
      <c r="D1176" s="2" t="str">
        <f>IF(A1176="","",MIN('Loan Inputs'!$B$17,C1176+E1176)+H1176)</f>
        <v/>
      </c>
      <c r="E1176" s="2" t="str">
        <f>IF(A1176="","",C1176*'Loan Inputs'!$B$15)</f>
        <v/>
      </c>
      <c r="F1176" s="2" t="str">
        <f t="shared" si="54"/>
        <v/>
      </c>
      <c r="G1176" s="2" t="str">
        <f t="shared" si="55"/>
        <v/>
      </c>
      <c r="H1176" s="2" t="str">
        <f>IF(A1176="","",MIN('Loan Inputs'!$B$18,MAX(0,C1176+E1176-'Loan Inputs'!$B$17)))</f>
        <v/>
      </c>
    </row>
    <row r="1177" spans="1:8" ht="22" customHeight="1">
      <c r="A1177" s="1" t="str">
        <f>IF(AND('Loan Inputs'!$B$12,1171&lt;=IF('Loan Inputs'!$B$12,'Loan Inputs'!$B$7,0)*'Loan Inputs'!$B$14+5*'Loan Inputs'!$B$14,ISNUMBER(G1176),G1176&gt;0),1171,"")</f>
        <v/>
      </c>
      <c r="B1177" s="4" t="str">
        <f>IF(A1177="","",IF('Loan Inputs'!$B$14=12,DATE(YEAR('Loan Inputs'!$B$8),MONTH('Loan Inputs'!$B$8)+A1177,DAY('Loan Inputs'!$B$8)),'Loan Inputs'!$B$8+A1177*IF('Loan Inputs'!$B$14=26,14,7)))</f>
        <v/>
      </c>
      <c r="C1177" s="2" t="str">
        <f t="shared" si="56"/>
        <v/>
      </c>
      <c r="D1177" s="2" t="str">
        <f>IF(A1177="","",MIN('Loan Inputs'!$B$17,C1177+E1177)+H1177)</f>
        <v/>
      </c>
      <c r="E1177" s="2" t="str">
        <f>IF(A1177="","",C1177*'Loan Inputs'!$B$15)</f>
        <v/>
      </c>
      <c r="F1177" s="2" t="str">
        <f t="shared" si="54"/>
        <v/>
      </c>
      <c r="G1177" s="2" t="str">
        <f t="shared" si="55"/>
        <v/>
      </c>
      <c r="H1177" s="2" t="str">
        <f>IF(A1177="","",MIN('Loan Inputs'!$B$18,MAX(0,C1177+E1177-'Loan Inputs'!$B$17)))</f>
        <v/>
      </c>
    </row>
    <row r="1178" spans="1:8" ht="22" customHeight="1">
      <c r="A1178" s="1" t="str">
        <f>IF(AND('Loan Inputs'!$B$12,1172&lt;=IF('Loan Inputs'!$B$12,'Loan Inputs'!$B$7,0)*'Loan Inputs'!$B$14+5*'Loan Inputs'!$B$14,ISNUMBER(G1177),G1177&gt;0),1172,"")</f>
        <v/>
      </c>
      <c r="B1178" s="4" t="str">
        <f>IF(A1178="","",IF('Loan Inputs'!$B$14=12,DATE(YEAR('Loan Inputs'!$B$8),MONTH('Loan Inputs'!$B$8)+A1178,DAY('Loan Inputs'!$B$8)),'Loan Inputs'!$B$8+A1178*IF('Loan Inputs'!$B$14=26,14,7)))</f>
        <v/>
      </c>
      <c r="C1178" s="2" t="str">
        <f t="shared" si="56"/>
        <v/>
      </c>
      <c r="D1178" s="2" t="str">
        <f>IF(A1178="","",MIN('Loan Inputs'!$B$17,C1178+E1178)+H1178)</f>
        <v/>
      </c>
      <c r="E1178" s="2" t="str">
        <f>IF(A1178="","",C1178*'Loan Inputs'!$B$15)</f>
        <v/>
      </c>
      <c r="F1178" s="2" t="str">
        <f t="shared" si="54"/>
        <v/>
      </c>
      <c r="G1178" s="2" t="str">
        <f t="shared" si="55"/>
        <v/>
      </c>
      <c r="H1178" s="2" t="str">
        <f>IF(A1178="","",MIN('Loan Inputs'!$B$18,MAX(0,C1178+E1178-'Loan Inputs'!$B$17)))</f>
        <v/>
      </c>
    </row>
    <row r="1179" spans="1:8" ht="22" customHeight="1">
      <c r="A1179" s="1" t="str">
        <f>IF(AND('Loan Inputs'!$B$12,1173&lt;=IF('Loan Inputs'!$B$12,'Loan Inputs'!$B$7,0)*'Loan Inputs'!$B$14+5*'Loan Inputs'!$B$14,ISNUMBER(G1178),G1178&gt;0),1173,"")</f>
        <v/>
      </c>
      <c r="B1179" s="4" t="str">
        <f>IF(A1179="","",IF('Loan Inputs'!$B$14=12,DATE(YEAR('Loan Inputs'!$B$8),MONTH('Loan Inputs'!$B$8)+A1179,DAY('Loan Inputs'!$B$8)),'Loan Inputs'!$B$8+A1179*IF('Loan Inputs'!$B$14=26,14,7)))</f>
        <v/>
      </c>
      <c r="C1179" s="2" t="str">
        <f t="shared" si="56"/>
        <v/>
      </c>
      <c r="D1179" s="2" t="str">
        <f>IF(A1179="","",MIN('Loan Inputs'!$B$17,C1179+E1179)+H1179)</f>
        <v/>
      </c>
      <c r="E1179" s="2" t="str">
        <f>IF(A1179="","",C1179*'Loan Inputs'!$B$15)</f>
        <v/>
      </c>
      <c r="F1179" s="2" t="str">
        <f t="shared" si="54"/>
        <v/>
      </c>
      <c r="G1179" s="2" t="str">
        <f t="shared" si="55"/>
        <v/>
      </c>
      <c r="H1179" s="2" t="str">
        <f>IF(A1179="","",MIN('Loan Inputs'!$B$18,MAX(0,C1179+E1179-'Loan Inputs'!$B$17)))</f>
        <v/>
      </c>
    </row>
    <row r="1180" spans="1:8" ht="22" customHeight="1">
      <c r="A1180" s="1" t="str">
        <f>IF(AND('Loan Inputs'!$B$12,1174&lt;=IF('Loan Inputs'!$B$12,'Loan Inputs'!$B$7,0)*'Loan Inputs'!$B$14+5*'Loan Inputs'!$B$14,ISNUMBER(G1179),G1179&gt;0),1174,"")</f>
        <v/>
      </c>
      <c r="B1180" s="4" t="str">
        <f>IF(A1180="","",IF('Loan Inputs'!$B$14=12,DATE(YEAR('Loan Inputs'!$B$8),MONTH('Loan Inputs'!$B$8)+A1180,DAY('Loan Inputs'!$B$8)),'Loan Inputs'!$B$8+A1180*IF('Loan Inputs'!$B$14=26,14,7)))</f>
        <v/>
      </c>
      <c r="C1180" s="2" t="str">
        <f t="shared" si="56"/>
        <v/>
      </c>
      <c r="D1180" s="2" t="str">
        <f>IF(A1180="","",MIN('Loan Inputs'!$B$17,C1180+E1180)+H1180)</f>
        <v/>
      </c>
      <c r="E1180" s="2" t="str">
        <f>IF(A1180="","",C1180*'Loan Inputs'!$B$15)</f>
        <v/>
      </c>
      <c r="F1180" s="2" t="str">
        <f t="shared" si="54"/>
        <v/>
      </c>
      <c r="G1180" s="2" t="str">
        <f t="shared" si="55"/>
        <v/>
      </c>
      <c r="H1180" s="2" t="str">
        <f>IF(A1180="","",MIN('Loan Inputs'!$B$18,MAX(0,C1180+E1180-'Loan Inputs'!$B$17)))</f>
        <v/>
      </c>
    </row>
    <row r="1181" spans="1:8" ht="22" customHeight="1">
      <c r="A1181" s="1" t="str">
        <f>IF(AND('Loan Inputs'!$B$12,1175&lt;=IF('Loan Inputs'!$B$12,'Loan Inputs'!$B$7,0)*'Loan Inputs'!$B$14+5*'Loan Inputs'!$B$14,ISNUMBER(G1180),G1180&gt;0),1175,"")</f>
        <v/>
      </c>
      <c r="B1181" s="4" t="str">
        <f>IF(A1181="","",IF('Loan Inputs'!$B$14=12,DATE(YEAR('Loan Inputs'!$B$8),MONTH('Loan Inputs'!$B$8)+A1181,DAY('Loan Inputs'!$B$8)),'Loan Inputs'!$B$8+A1181*IF('Loan Inputs'!$B$14=26,14,7)))</f>
        <v/>
      </c>
      <c r="C1181" s="2" t="str">
        <f t="shared" si="56"/>
        <v/>
      </c>
      <c r="D1181" s="2" t="str">
        <f>IF(A1181="","",MIN('Loan Inputs'!$B$17,C1181+E1181)+H1181)</f>
        <v/>
      </c>
      <c r="E1181" s="2" t="str">
        <f>IF(A1181="","",C1181*'Loan Inputs'!$B$15)</f>
        <v/>
      </c>
      <c r="F1181" s="2" t="str">
        <f t="shared" si="54"/>
        <v/>
      </c>
      <c r="G1181" s="2" t="str">
        <f t="shared" si="55"/>
        <v/>
      </c>
      <c r="H1181" s="2" t="str">
        <f>IF(A1181="","",MIN('Loan Inputs'!$B$18,MAX(0,C1181+E1181-'Loan Inputs'!$B$17)))</f>
        <v/>
      </c>
    </row>
    <row r="1182" spans="1:8" ht="22" customHeight="1">
      <c r="A1182" s="1" t="str">
        <f>IF(AND('Loan Inputs'!$B$12,1176&lt;=IF('Loan Inputs'!$B$12,'Loan Inputs'!$B$7,0)*'Loan Inputs'!$B$14+5*'Loan Inputs'!$B$14,ISNUMBER(G1181),G1181&gt;0),1176,"")</f>
        <v/>
      </c>
      <c r="B1182" s="4" t="str">
        <f>IF(A1182="","",IF('Loan Inputs'!$B$14=12,DATE(YEAR('Loan Inputs'!$B$8),MONTH('Loan Inputs'!$B$8)+A1182,DAY('Loan Inputs'!$B$8)),'Loan Inputs'!$B$8+A1182*IF('Loan Inputs'!$B$14=26,14,7)))</f>
        <v/>
      </c>
      <c r="C1182" s="2" t="str">
        <f t="shared" si="56"/>
        <v/>
      </c>
      <c r="D1182" s="2" t="str">
        <f>IF(A1182="","",MIN('Loan Inputs'!$B$17,C1182+E1182)+H1182)</f>
        <v/>
      </c>
      <c r="E1182" s="2" t="str">
        <f>IF(A1182="","",C1182*'Loan Inputs'!$B$15)</f>
        <v/>
      </c>
      <c r="F1182" s="2" t="str">
        <f t="shared" si="54"/>
        <v/>
      </c>
      <c r="G1182" s="2" t="str">
        <f t="shared" si="55"/>
        <v/>
      </c>
      <c r="H1182" s="2" t="str">
        <f>IF(A1182="","",MIN('Loan Inputs'!$B$18,MAX(0,C1182+E1182-'Loan Inputs'!$B$17)))</f>
        <v/>
      </c>
    </row>
    <row r="1183" spans="1:8" ht="22" customHeight="1">
      <c r="A1183" s="1" t="str">
        <f>IF(AND('Loan Inputs'!$B$12,1177&lt;=IF('Loan Inputs'!$B$12,'Loan Inputs'!$B$7,0)*'Loan Inputs'!$B$14+5*'Loan Inputs'!$B$14,ISNUMBER(G1182),G1182&gt;0),1177,"")</f>
        <v/>
      </c>
      <c r="B1183" s="4" t="str">
        <f>IF(A1183="","",IF('Loan Inputs'!$B$14=12,DATE(YEAR('Loan Inputs'!$B$8),MONTH('Loan Inputs'!$B$8)+A1183,DAY('Loan Inputs'!$B$8)),'Loan Inputs'!$B$8+A1183*IF('Loan Inputs'!$B$14=26,14,7)))</f>
        <v/>
      </c>
      <c r="C1183" s="2" t="str">
        <f t="shared" si="56"/>
        <v/>
      </c>
      <c r="D1183" s="2" t="str">
        <f>IF(A1183="","",MIN('Loan Inputs'!$B$17,C1183+E1183)+H1183)</f>
        <v/>
      </c>
      <c r="E1183" s="2" t="str">
        <f>IF(A1183="","",C1183*'Loan Inputs'!$B$15)</f>
        <v/>
      </c>
      <c r="F1183" s="2" t="str">
        <f t="shared" si="54"/>
        <v/>
      </c>
      <c r="G1183" s="2" t="str">
        <f t="shared" si="55"/>
        <v/>
      </c>
      <c r="H1183" s="2" t="str">
        <f>IF(A1183="","",MIN('Loan Inputs'!$B$18,MAX(0,C1183+E1183-'Loan Inputs'!$B$17)))</f>
        <v/>
      </c>
    </row>
    <row r="1184" spans="1:8" ht="22" customHeight="1">
      <c r="A1184" s="1" t="str">
        <f>IF(AND('Loan Inputs'!$B$12,1178&lt;=IF('Loan Inputs'!$B$12,'Loan Inputs'!$B$7,0)*'Loan Inputs'!$B$14+5*'Loan Inputs'!$B$14,ISNUMBER(G1183),G1183&gt;0),1178,"")</f>
        <v/>
      </c>
      <c r="B1184" s="4" t="str">
        <f>IF(A1184="","",IF('Loan Inputs'!$B$14=12,DATE(YEAR('Loan Inputs'!$B$8),MONTH('Loan Inputs'!$B$8)+A1184,DAY('Loan Inputs'!$B$8)),'Loan Inputs'!$B$8+A1184*IF('Loan Inputs'!$B$14=26,14,7)))</f>
        <v/>
      </c>
      <c r="C1184" s="2" t="str">
        <f t="shared" si="56"/>
        <v/>
      </c>
      <c r="D1184" s="2" t="str">
        <f>IF(A1184="","",MIN('Loan Inputs'!$B$17,C1184+E1184)+H1184)</f>
        <v/>
      </c>
      <c r="E1184" s="2" t="str">
        <f>IF(A1184="","",C1184*'Loan Inputs'!$B$15)</f>
        <v/>
      </c>
      <c r="F1184" s="2" t="str">
        <f t="shared" si="54"/>
        <v/>
      </c>
      <c r="G1184" s="2" t="str">
        <f t="shared" si="55"/>
        <v/>
      </c>
      <c r="H1184" s="2" t="str">
        <f>IF(A1184="","",MIN('Loan Inputs'!$B$18,MAX(0,C1184+E1184-'Loan Inputs'!$B$17)))</f>
        <v/>
      </c>
    </row>
    <row r="1185" spans="1:8" ht="22" customHeight="1">
      <c r="A1185" s="1" t="str">
        <f>IF(AND('Loan Inputs'!$B$12,1179&lt;=IF('Loan Inputs'!$B$12,'Loan Inputs'!$B$7,0)*'Loan Inputs'!$B$14+5*'Loan Inputs'!$B$14,ISNUMBER(G1184),G1184&gt;0),1179,"")</f>
        <v/>
      </c>
      <c r="B1185" s="4" t="str">
        <f>IF(A1185="","",IF('Loan Inputs'!$B$14=12,DATE(YEAR('Loan Inputs'!$B$8),MONTH('Loan Inputs'!$B$8)+A1185,DAY('Loan Inputs'!$B$8)),'Loan Inputs'!$B$8+A1185*IF('Loan Inputs'!$B$14=26,14,7)))</f>
        <v/>
      </c>
      <c r="C1185" s="2" t="str">
        <f t="shared" si="56"/>
        <v/>
      </c>
      <c r="D1185" s="2" t="str">
        <f>IF(A1185="","",MIN('Loan Inputs'!$B$17,C1185+E1185)+H1185)</f>
        <v/>
      </c>
      <c r="E1185" s="2" t="str">
        <f>IF(A1185="","",C1185*'Loan Inputs'!$B$15)</f>
        <v/>
      </c>
      <c r="F1185" s="2" t="str">
        <f t="shared" si="54"/>
        <v/>
      </c>
      <c r="G1185" s="2" t="str">
        <f t="shared" si="55"/>
        <v/>
      </c>
      <c r="H1185" s="2" t="str">
        <f>IF(A1185="","",MIN('Loan Inputs'!$B$18,MAX(0,C1185+E1185-'Loan Inputs'!$B$17)))</f>
        <v/>
      </c>
    </row>
    <row r="1186" spans="1:8" ht="22" customHeight="1">
      <c r="A1186" s="1" t="str">
        <f>IF(AND('Loan Inputs'!$B$12,1180&lt;=IF('Loan Inputs'!$B$12,'Loan Inputs'!$B$7,0)*'Loan Inputs'!$B$14+5*'Loan Inputs'!$B$14,ISNUMBER(G1185),G1185&gt;0),1180,"")</f>
        <v/>
      </c>
      <c r="B1186" s="4" t="str">
        <f>IF(A1186="","",IF('Loan Inputs'!$B$14=12,DATE(YEAR('Loan Inputs'!$B$8),MONTH('Loan Inputs'!$B$8)+A1186,DAY('Loan Inputs'!$B$8)),'Loan Inputs'!$B$8+A1186*IF('Loan Inputs'!$B$14=26,14,7)))</f>
        <v/>
      </c>
      <c r="C1186" s="2" t="str">
        <f t="shared" si="56"/>
        <v/>
      </c>
      <c r="D1186" s="2" t="str">
        <f>IF(A1186="","",MIN('Loan Inputs'!$B$17,C1186+E1186)+H1186)</f>
        <v/>
      </c>
      <c r="E1186" s="2" t="str">
        <f>IF(A1186="","",C1186*'Loan Inputs'!$B$15)</f>
        <v/>
      </c>
      <c r="F1186" s="2" t="str">
        <f t="shared" si="54"/>
        <v/>
      </c>
      <c r="G1186" s="2" t="str">
        <f t="shared" si="55"/>
        <v/>
      </c>
      <c r="H1186" s="2" t="str">
        <f>IF(A1186="","",MIN('Loan Inputs'!$B$18,MAX(0,C1186+E1186-'Loan Inputs'!$B$17)))</f>
        <v/>
      </c>
    </row>
    <row r="1187" spans="1:8" ht="22" customHeight="1">
      <c r="A1187" s="1" t="str">
        <f>IF(AND('Loan Inputs'!$B$12,1181&lt;=IF('Loan Inputs'!$B$12,'Loan Inputs'!$B$7,0)*'Loan Inputs'!$B$14+5*'Loan Inputs'!$B$14,ISNUMBER(G1186),G1186&gt;0),1181,"")</f>
        <v/>
      </c>
      <c r="B1187" s="4" t="str">
        <f>IF(A1187="","",IF('Loan Inputs'!$B$14=12,DATE(YEAR('Loan Inputs'!$B$8),MONTH('Loan Inputs'!$B$8)+A1187,DAY('Loan Inputs'!$B$8)),'Loan Inputs'!$B$8+A1187*IF('Loan Inputs'!$B$14=26,14,7)))</f>
        <v/>
      </c>
      <c r="C1187" s="2" t="str">
        <f t="shared" si="56"/>
        <v/>
      </c>
      <c r="D1187" s="2" t="str">
        <f>IF(A1187="","",MIN('Loan Inputs'!$B$17,C1187+E1187)+H1187)</f>
        <v/>
      </c>
      <c r="E1187" s="2" t="str">
        <f>IF(A1187="","",C1187*'Loan Inputs'!$B$15)</f>
        <v/>
      </c>
      <c r="F1187" s="2" t="str">
        <f t="shared" si="54"/>
        <v/>
      </c>
      <c r="G1187" s="2" t="str">
        <f t="shared" si="55"/>
        <v/>
      </c>
      <c r="H1187" s="2" t="str">
        <f>IF(A1187="","",MIN('Loan Inputs'!$B$18,MAX(0,C1187+E1187-'Loan Inputs'!$B$17)))</f>
        <v/>
      </c>
    </row>
    <row r="1188" spans="1:8" ht="22" customHeight="1">
      <c r="A1188" s="1" t="str">
        <f>IF(AND('Loan Inputs'!$B$12,1182&lt;=IF('Loan Inputs'!$B$12,'Loan Inputs'!$B$7,0)*'Loan Inputs'!$B$14+5*'Loan Inputs'!$B$14,ISNUMBER(G1187),G1187&gt;0),1182,"")</f>
        <v/>
      </c>
      <c r="B1188" s="4" t="str">
        <f>IF(A1188="","",IF('Loan Inputs'!$B$14=12,DATE(YEAR('Loan Inputs'!$B$8),MONTH('Loan Inputs'!$B$8)+A1188,DAY('Loan Inputs'!$B$8)),'Loan Inputs'!$B$8+A1188*IF('Loan Inputs'!$B$14=26,14,7)))</f>
        <v/>
      </c>
      <c r="C1188" s="2" t="str">
        <f t="shared" si="56"/>
        <v/>
      </c>
      <c r="D1188" s="2" t="str">
        <f>IF(A1188="","",MIN('Loan Inputs'!$B$17,C1188+E1188)+H1188)</f>
        <v/>
      </c>
      <c r="E1188" s="2" t="str">
        <f>IF(A1188="","",C1188*'Loan Inputs'!$B$15)</f>
        <v/>
      </c>
      <c r="F1188" s="2" t="str">
        <f t="shared" si="54"/>
        <v/>
      </c>
      <c r="G1188" s="2" t="str">
        <f t="shared" si="55"/>
        <v/>
      </c>
      <c r="H1188" s="2" t="str">
        <f>IF(A1188="","",MIN('Loan Inputs'!$B$18,MAX(0,C1188+E1188-'Loan Inputs'!$B$17)))</f>
        <v/>
      </c>
    </row>
    <row r="1189" spans="1:8" ht="22" customHeight="1">
      <c r="A1189" s="1" t="str">
        <f>IF(AND('Loan Inputs'!$B$12,1183&lt;=IF('Loan Inputs'!$B$12,'Loan Inputs'!$B$7,0)*'Loan Inputs'!$B$14+5*'Loan Inputs'!$B$14,ISNUMBER(G1188),G1188&gt;0),1183,"")</f>
        <v/>
      </c>
      <c r="B1189" s="4" t="str">
        <f>IF(A1189="","",IF('Loan Inputs'!$B$14=12,DATE(YEAR('Loan Inputs'!$B$8),MONTH('Loan Inputs'!$B$8)+A1189,DAY('Loan Inputs'!$B$8)),'Loan Inputs'!$B$8+A1189*IF('Loan Inputs'!$B$14=26,14,7)))</f>
        <v/>
      </c>
      <c r="C1189" s="2" t="str">
        <f t="shared" si="56"/>
        <v/>
      </c>
      <c r="D1189" s="2" t="str">
        <f>IF(A1189="","",MIN('Loan Inputs'!$B$17,C1189+E1189)+H1189)</f>
        <v/>
      </c>
      <c r="E1189" s="2" t="str">
        <f>IF(A1189="","",C1189*'Loan Inputs'!$B$15)</f>
        <v/>
      </c>
      <c r="F1189" s="2" t="str">
        <f t="shared" si="54"/>
        <v/>
      </c>
      <c r="G1189" s="2" t="str">
        <f t="shared" si="55"/>
        <v/>
      </c>
      <c r="H1189" s="2" t="str">
        <f>IF(A1189="","",MIN('Loan Inputs'!$B$18,MAX(0,C1189+E1189-'Loan Inputs'!$B$17)))</f>
        <v/>
      </c>
    </row>
    <row r="1190" spans="1:8" ht="22" customHeight="1">
      <c r="A1190" s="1" t="str">
        <f>IF(AND('Loan Inputs'!$B$12,1184&lt;=IF('Loan Inputs'!$B$12,'Loan Inputs'!$B$7,0)*'Loan Inputs'!$B$14+5*'Loan Inputs'!$B$14,ISNUMBER(G1189),G1189&gt;0),1184,"")</f>
        <v/>
      </c>
      <c r="B1190" s="4" t="str">
        <f>IF(A1190="","",IF('Loan Inputs'!$B$14=12,DATE(YEAR('Loan Inputs'!$B$8),MONTH('Loan Inputs'!$B$8)+A1190,DAY('Loan Inputs'!$B$8)),'Loan Inputs'!$B$8+A1190*IF('Loan Inputs'!$B$14=26,14,7)))</f>
        <v/>
      </c>
      <c r="C1190" s="2" t="str">
        <f t="shared" si="56"/>
        <v/>
      </c>
      <c r="D1190" s="2" t="str">
        <f>IF(A1190="","",MIN('Loan Inputs'!$B$17,C1190+E1190)+H1190)</f>
        <v/>
      </c>
      <c r="E1190" s="2" t="str">
        <f>IF(A1190="","",C1190*'Loan Inputs'!$B$15)</f>
        <v/>
      </c>
      <c r="F1190" s="2" t="str">
        <f t="shared" si="54"/>
        <v/>
      </c>
      <c r="G1190" s="2" t="str">
        <f t="shared" si="55"/>
        <v/>
      </c>
      <c r="H1190" s="2" t="str">
        <f>IF(A1190="","",MIN('Loan Inputs'!$B$18,MAX(0,C1190+E1190-'Loan Inputs'!$B$17)))</f>
        <v/>
      </c>
    </row>
    <row r="1191" spans="1:8" ht="22" customHeight="1">
      <c r="A1191" s="1" t="str">
        <f>IF(AND('Loan Inputs'!$B$12,1185&lt;=IF('Loan Inputs'!$B$12,'Loan Inputs'!$B$7,0)*'Loan Inputs'!$B$14+5*'Loan Inputs'!$B$14,ISNUMBER(G1190),G1190&gt;0),1185,"")</f>
        <v/>
      </c>
      <c r="B1191" s="4" t="str">
        <f>IF(A1191="","",IF('Loan Inputs'!$B$14=12,DATE(YEAR('Loan Inputs'!$B$8),MONTH('Loan Inputs'!$B$8)+A1191,DAY('Loan Inputs'!$B$8)),'Loan Inputs'!$B$8+A1191*IF('Loan Inputs'!$B$14=26,14,7)))</f>
        <v/>
      </c>
      <c r="C1191" s="2" t="str">
        <f t="shared" si="56"/>
        <v/>
      </c>
      <c r="D1191" s="2" t="str">
        <f>IF(A1191="","",MIN('Loan Inputs'!$B$17,C1191+E1191)+H1191)</f>
        <v/>
      </c>
      <c r="E1191" s="2" t="str">
        <f>IF(A1191="","",C1191*'Loan Inputs'!$B$15)</f>
        <v/>
      </c>
      <c r="F1191" s="2" t="str">
        <f t="shared" si="54"/>
        <v/>
      </c>
      <c r="G1191" s="2" t="str">
        <f t="shared" si="55"/>
        <v/>
      </c>
      <c r="H1191" s="2" t="str">
        <f>IF(A1191="","",MIN('Loan Inputs'!$B$18,MAX(0,C1191+E1191-'Loan Inputs'!$B$17)))</f>
        <v/>
      </c>
    </row>
    <row r="1192" spans="1:8" ht="22" customHeight="1">
      <c r="A1192" s="1" t="str">
        <f>IF(AND('Loan Inputs'!$B$12,1186&lt;=IF('Loan Inputs'!$B$12,'Loan Inputs'!$B$7,0)*'Loan Inputs'!$B$14+5*'Loan Inputs'!$B$14,ISNUMBER(G1191),G1191&gt;0),1186,"")</f>
        <v/>
      </c>
      <c r="B1192" s="4" t="str">
        <f>IF(A1192="","",IF('Loan Inputs'!$B$14=12,DATE(YEAR('Loan Inputs'!$B$8),MONTH('Loan Inputs'!$B$8)+A1192,DAY('Loan Inputs'!$B$8)),'Loan Inputs'!$B$8+A1192*IF('Loan Inputs'!$B$14=26,14,7)))</f>
        <v/>
      </c>
      <c r="C1192" s="2" t="str">
        <f t="shared" si="56"/>
        <v/>
      </c>
      <c r="D1192" s="2" t="str">
        <f>IF(A1192="","",MIN('Loan Inputs'!$B$17,C1192+E1192)+H1192)</f>
        <v/>
      </c>
      <c r="E1192" s="2" t="str">
        <f>IF(A1192="","",C1192*'Loan Inputs'!$B$15)</f>
        <v/>
      </c>
      <c r="F1192" s="2" t="str">
        <f t="shared" si="54"/>
        <v/>
      </c>
      <c r="G1192" s="2" t="str">
        <f t="shared" si="55"/>
        <v/>
      </c>
      <c r="H1192" s="2" t="str">
        <f>IF(A1192="","",MIN('Loan Inputs'!$B$18,MAX(0,C1192+E1192-'Loan Inputs'!$B$17)))</f>
        <v/>
      </c>
    </row>
    <row r="1193" spans="1:8" ht="22" customHeight="1">
      <c r="A1193" s="1" t="str">
        <f>IF(AND('Loan Inputs'!$B$12,1187&lt;=IF('Loan Inputs'!$B$12,'Loan Inputs'!$B$7,0)*'Loan Inputs'!$B$14+5*'Loan Inputs'!$B$14,ISNUMBER(G1192),G1192&gt;0),1187,"")</f>
        <v/>
      </c>
      <c r="B1193" s="4" t="str">
        <f>IF(A1193="","",IF('Loan Inputs'!$B$14=12,DATE(YEAR('Loan Inputs'!$B$8),MONTH('Loan Inputs'!$B$8)+A1193,DAY('Loan Inputs'!$B$8)),'Loan Inputs'!$B$8+A1193*IF('Loan Inputs'!$B$14=26,14,7)))</f>
        <v/>
      </c>
      <c r="C1193" s="2" t="str">
        <f t="shared" si="56"/>
        <v/>
      </c>
      <c r="D1193" s="2" t="str">
        <f>IF(A1193="","",MIN('Loan Inputs'!$B$17,C1193+E1193)+H1193)</f>
        <v/>
      </c>
      <c r="E1193" s="2" t="str">
        <f>IF(A1193="","",C1193*'Loan Inputs'!$B$15)</f>
        <v/>
      </c>
      <c r="F1193" s="2" t="str">
        <f t="shared" si="54"/>
        <v/>
      </c>
      <c r="G1193" s="2" t="str">
        <f t="shared" si="55"/>
        <v/>
      </c>
      <c r="H1193" s="2" t="str">
        <f>IF(A1193="","",MIN('Loan Inputs'!$B$18,MAX(0,C1193+E1193-'Loan Inputs'!$B$17)))</f>
        <v/>
      </c>
    </row>
    <row r="1194" spans="1:8" ht="22" customHeight="1">
      <c r="A1194" s="1" t="str">
        <f>IF(AND('Loan Inputs'!$B$12,1188&lt;=IF('Loan Inputs'!$B$12,'Loan Inputs'!$B$7,0)*'Loan Inputs'!$B$14+5*'Loan Inputs'!$B$14,ISNUMBER(G1193),G1193&gt;0),1188,"")</f>
        <v/>
      </c>
      <c r="B1194" s="4" t="str">
        <f>IF(A1194="","",IF('Loan Inputs'!$B$14=12,DATE(YEAR('Loan Inputs'!$B$8),MONTH('Loan Inputs'!$B$8)+A1194,DAY('Loan Inputs'!$B$8)),'Loan Inputs'!$B$8+A1194*IF('Loan Inputs'!$B$14=26,14,7)))</f>
        <v/>
      </c>
      <c r="C1194" s="2" t="str">
        <f t="shared" si="56"/>
        <v/>
      </c>
      <c r="D1194" s="2" t="str">
        <f>IF(A1194="","",MIN('Loan Inputs'!$B$17,C1194+E1194)+H1194)</f>
        <v/>
      </c>
      <c r="E1194" s="2" t="str">
        <f>IF(A1194="","",C1194*'Loan Inputs'!$B$15)</f>
        <v/>
      </c>
      <c r="F1194" s="2" t="str">
        <f t="shared" si="54"/>
        <v/>
      </c>
      <c r="G1194" s="2" t="str">
        <f t="shared" si="55"/>
        <v/>
      </c>
      <c r="H1194" s="2" t="str">
        <f>IF(A1194="","",MIN('Loan Inputs'!$B$18,MAX(0,C1194+E1194-'Loan Inputs'!$B$17)))</f>
        <v/>
      </c>
    </row>
    <row r="1195" spans="1:8" ht="22" customHeight="1">
      <c r="A1195" s="1" t="str">
        <f>IF(AND('Loan Inputs'!$B$12,1189&lt;=IF('Loan Inputs'!$B$12,'Loan Inputs'!$B$7,0)*'Loan Inputs'!$B$14+5*'Loan Inputs'!$B$14,ISNUMBER(G1194),G1194&gt;0),1189,"")</f>
        <v/>
      </c>
      <c r="B1195" s="4" t="str">
        <f>IF(A1195="","",IF('Loan Inputs'!$B$14=12,DATE(YEAR('Loan Inputs'!$B$8),MONTH('Loan Inputs'!$B$8)+A1195,DAY('Loan Inputs'!$B$8)),'Loan Inputs'!$B$8+A1195*IF('Loan Inputs'!$B$14=26,14,7)))</f>
        <v/>
      </c>
      <c r="C1195" s="2" t="str">
        <f t="shared" si="56"/>
        <v/>
      </c>
      <c r="D1195" s="2" t="str">
        <f>IF(A1195="","",MIN('Loan Inputs'!$B$17,C1195+E1195)+H1195)</f>
        <v/>
      </c>
      <c r="E1195" s="2" t="str">
        <f>IF(A1195="","",C1195*'Loan Inputs'!$B$15)</f>
        <v/>
      </c>
      <c r="F1195" s="2" t="str">
        <f t="shared" si="54"/>
        <v/>
      </c>
      <c r="G1195" s="2" t="str">
        <f t="shared" si="55"/>
        <v/>
      </c>
      <c r="H1195" s="2" t="str">
        <f>IF(A1195="","",MIN('Loan Inputs'!$B$18,MAX(0,C1195+E1195-'Loan Inputs'!$B$17)))</f>
        <v/>
      </c>
    </row>
    <row r="1196" spans="1:8" ht="22" customHeight="1">
      <c r="A1196" s="1" t="str">
        <f>IF(AND('Loan Inputs'!$B$12,1190&lt;=IF('Loan Inputs'!$B$12,'Loan Inputs'!$B$7,0)*'Loan Inputs'!$B$14+5*'Loan Inputs'!$B$14,ISNUMBER(G1195),G1195&gt;0),1190,"")</f>
        <v/>
      </c>
      <c r="B1196" s="4" t="str">
        <f>IF(A1196="","",IF('Loan Inputs'!$B$14=12,DATE(YEAR('Loan Inputs'!$B$8),MONTH('Loan Inputs'!$B$8)+A1196,DAY('Loan Inputs'!$B$8)),'Loan Inputs'!$B$8+A1196*IF('Loan Inputs'!$B$14=26,14,7)))</f>
        <v/>
      </c>
      <c r="C1196" s="2" t="str">
        <f t="shared" si="56"/>
        <v/>
      </c>
      <c r="D1196" s="2" t="str">
        <f>IF(A1196="","",MIN('Loan Inputs'!$B$17,C1196+E1196)+H1196)</f>
        <v/>
      </c>
      <c r="E1196" s="2" t="str">
        <f>IF(A1196="","",C1196*'Loan Inputs'!$B$15)</f>
        <v/>
      </c>
      <c r="F1196" s="2" t="str">
        <f t="shared" si="54"/>
        <v/>
      </c>
      <c r="G1196" s="2" t="str">
        <f t="shared" si="55"/>
        <v/>
      </c>
      <c r="H1196" s="2" t="str">
        <f>IF(A1196="","",MIN('Loan Inputs'!$B$18,MAX(0,C1196+E1196-'Loan Inputs'!$B$17)))</f>
        <v/>
      </c>
    </row>
    <row r="1197" spans="1:8" ht="22" customHeight="1">
      <c r="A1197" s="1" t="str">
        <f>IF(AND('Loan Inputs'!$B$12,1191&lt;=IF('Loan Inputs'!$B$12,'Loan Inputs'!$B$7,0)*'Loan Inputs'!$B$14+5*'Loan Inputs'!$B$14,ISNUMBER(G1196),G1196&gt;0),1191,"")</f>
        <v/>
      </c>
      <c r="B1197" s="4" t="str">
        <f>IF(A1197="","",IF('Loan Inputs'!$B$14=12,DATE(YEAR('Loan Inputs'!$B$8),MONTH('Loan Inputs'!$B$8)+A1197,DAY('Loan Inputs'!$B$8)),'Loan Inputs'!$B$8+A1197*IF('Loan Inputs'!$B$14=26,14,7)))</f>
        <v/>
      </c>
      <c r="C1197" s="2" t="str">
        <f t="shared" si="56"/>
        <v/>
      </c>
      <c r="D1197" s="2" t="str">
        <f>IF(A1197="","",MIN('Loan Inputs'!$B$17,C1197+E1197)+H1197)</f>
        <v/>
      </c>
      <c r="E1197" s="2" t="str">
        <f>IF(A1197="","",C1197*'Loan Inputs'!$B$15)</f>
        <v/>
      </c>
      <c r="F1197" s="2" t="str">
        <f t="shared" si="54"/>
        <v/>
      </c>
      <c r="G1197" s="2" t="str">
        <f t="shared" si="55"/>
        <v/>
      </c>
      <c r="H1197" s="2" t="str">
        <f>IF(A1197="","",MIN('Loan Inputs'!$B$18,MAX(0,C1197+E1197-'Loan Inputs'!$B$17)))</f>
        <v/>
      </c>
    </row>
    <row r="1198" spans="1:8" ht="22" customHeight="1">
      <c r="A1198" s="1" t="str">
        <f>IF(AND('Loan Inputs'!$B$12,1192&lt;=IF('Loan Inputs'!$B$12,'Loan Inputs'!$B$7,0)*'Loan Inputs'!$B$14+5*'Loan Inputs'!$B$14,ISNUMBER(G1197),G1197&gt;0),1192,"")</f>
        <v/>
      </c>
      <c r="B1198" s="4" t="str">
        <f>IF(A1198="","",IF('Loan Inputs'!$B$14=12,DATE(YEAR('Loan Inputs'!$B$8),MONTH('Loan Inputs'!$B$8)+A1198,DAY('Loan Inputs'!$B$8)),'Loan Inputs'!$B$8+A1198*IF('Loan Inputs'!$B$14=26,14,7)))</f>
        <v/>
      </c>
      <c r="C1198" s="2" t="str">
        <f t="shared" si="56"/>
        <v/>
      </c>
      <c r="D1198" s="2" t="str">
        <f>IF(A1198="","",MIN('Loan Inputs'!$B$17,C1198+E1198)+H1198)</f>
        <v/>
      </c>
      <c r="E1198" s="2" t="str">
        <f>IF(A1198="","",C1198*'Loan Inputs'!$B$15)</f>
        <v/>
      </c>
      <c r="F1198" s="2" t="str">
        <f t="shared" si="54"/>
        <v/>
      </c>
      <c r="G1198" s="2" t="str">
        <f t="shared" si="55"/>
        <v/>
      </c>
      <c r="H1198" s="2" t="str">
        <f>IF(A1198="","",MIN('Loan Inputs'!$B$18,MAX(0,C1198+E1198-'Loan Inputs'!$B$17)))</f>
        <v/>
      </c>
    </row>
    <row r="1199" spans="1:8" ht="22" customHeight="1">
      <c r="A1199" s="1" t="str">
        <f>IF(AND('Loan Inputs'!$B$12,1193&lt;=IF('Loan Inputs'!$B$12,'Loan Inputs'!$B$7,0)*'Loan Inputs'!$B$14+5*'Loan Inputs'!$B$14,ISNUMBER(G1198),G1198&gt;0),1193,"")</f>
        <v/>
      </c>
      <c r="B1199" s="4" t="str">
        <f>IF(A1199="","",IF('Loan Inputs'!$B$14=12,DATE(YEAR('Loan Inputs'!$B$8),MONTH('Loan Inputs'!$B$8)+A1199,DAY('Loan Inputs'!$B$8)),'Loan Inputs'!$B$8+A1199*IF('Loan Inputs'!$B$14=26,14,7)))</f>
        <v/>
      </c>
      <c r="C1199" s="2" t="str">
        <f t="shared" si="56"/>
        <v/>
      </c>
      <c r="D1199" s="2" t="str">
        <f>IF(A1199="","",MIN('Loan Inputs'!$B$17,C1199+E1199)+H1199)</f>
        <v/>
      </c>
      <c r="E1199" s="2" t="str">
        <f>IF(A1199="","",C1199*'Loan Inputs'!$B$15)</f>
        <v/>
      </c>
      <c r="F1199" s="2" t="str">
        <f t="shared" si="54"/>
        <v/>
      </c>
      <c r="G1199" s="2" t="str">
        <f t="shared" si="55"/>
        <v/>
      </c>
      <c r="H1199" s="2" t="str">
        <f>IF(A1199="","",MIN('Loan Inputs'!$B$18,MAX(0,C1199+E1199-'Loan Inputs'!$B$17)))</f>
        <v/>
      </c>
    </row>
    <row r="1200" spans="1:8" ht="22" customHeight="1">
      <c r="A1200" s="1" t="str">
        <f>IF(AND('Loan Inputs'!$B$12,1194&lt;=IF('Loan Inputs'!$B$12,'Loan Inputs'!$B$7,0)*'Loan Inputs'!$B$14+5*'Loan Inputs'!$B$14,ISNUMBER(G1199),G1199&gt;0),1194,"")</f>
        <v/>
      </c>
      <c r="B1200" s="4" t="str">
        <f>IF(A1200="","",IF('Loan Inputs'!$B$14=12,DATE(YEAR('Loan Inputs'!$B$8),MONTH('Loan Inputs'!$B$8)+A1200,DAY('Loan Inputs'!$B$8)),'Loan Inputs'!$B$8+A1200*IF('Loan Inputs'!$B$14=26,14,7)))</f>
        <v/>
      </c>
      <c r="C1200" s="2" t="str">
        <f t="shared" si="56"/>
        <v/>
      </c>
      <c r="D1200" s="2" t="str">
        <f>IF(A1200="","",MIN('Loan Inputs'!$B$17,C1200+E1200)+H1200)</f>
        <v/>
      </c>
      <c r="E1200" s="2" t="str">
        <f>IF(A1200="","",C1200*'Loan Inputs'!$B$15)</f>
        <v/>
      </c>
      <c r="F1200" s="2" t="str">
        <f t="shared" si="54"/>
        <v/>
      </c>
      <c r="G1200" s="2" t="str">
        <f t="shared" si="55"/>
        <v/>
      </c>
      <c r="H1200" s="2" t="str">
        <f>IF(A1200="","",MIN('Loan Inputs'!$B$18,MAX(0,C1200+E1200-'Loan Inputs'!$B$17)))</f>
        <v/>
      </c>
    </row>
    <row r="1201" spans="1:8" ht="22" customHeight="1">
      <c r="A1201" s="1" t="str">
        <f>IF(AND('Loan Inputs'!$B$12,1195&lt;=IF('Loan Inputs'!$B$12,'Loan Inputs'!$B$7,0)*'Loan Inputs'!$B$14+5*'Loan Inputs'!$B$14,ISNUMBER(G1200),G1200&gt;0),1195,"")</f>
        <v/>
      </c>
      <c r="B1201" s="4" t="str">
        <f>IF(A1201="","",IF('Loan Inputs'!$B$14=12,DATE(YEAR('Loan Inputs'!$B$8),MONTH('Loan Inputs'!$B$8)+A1201,DAY('Loan Inputs'!$B$8)),'Loan Inputs'!$B$8+A1201*IF('Loan Inputs'!$B$14=26,14,7)))</f>
        <v/>
      </c>
      <c r="C1201" s="2" t="str">
        <f t="shared" si="56"/>
        <v/>
      </c>
      <c r="D1201" s="2" t="str">
        <f>IF(A1201="","",MIN('Loan Inputs'!$B$17,C1201+E1201)+H1201)</f>
        <v/>
      </c>
      <c r="E1201" s="2" t="str">
        <f>IF(A1201="","",C1201*'Loan Inputs'!$B$15)</f>
        <v/>
      </c>
      <c r="F1201" s="2" t="str">
        <f t="shared" si="54"/>
        <v/>
      </c>
      <c r="G1201" s="2" t="str">
        <f t="shared" si="55"/>
        <v/>
      </c>
      <c r="H1201" s="2" t="str">
        <f>IF(A1201="","",MIN('Loan Inputs'!$B$18,MAX(0,C1201+E1201-'Loan Inputs'!$B$17)))</f>
        <v/>
      </c>
    </row>
    <row r="1202" spans="1:8" ht="22" customHeight="1">
      <c r="A1202" s="1" t="str">
        <f>IF(AND('Loan Inputs'!$B$12,1196&lt;=IF('Loan Inputs'!$B$12,'Loan Inputs'!$B$7,0)*'Loan Inputs'!$B$14+5*'Loan Inputs'!$B$14,ISNUMBER(G1201),G1201&gt;0),1196,"")</f>
        <v/>
      </c>
      <c r="B1202" s="4" t="str">
        <f>IF(A1202="","",IF('Loan Inputs'!$B$14=12,DATE(YEAR('Loan Inputs'!$B$8),MONTH('Loan Inputs'!$B$8)+A1202,DAY('Loan Inputs'!$B$8)),'Loan Inputs'!$B$8+A1202*IF('Loan Inputs'!$B$14=26,14,7)))</f>
        <v/>
      </c>
      <c r="C1202" s="2" t="str">
        <f t="shared" si="56"/>
        <v/>
      </c>
      <c r="D1202" s="2" t="str">
        <f>IF(A1202="","",MIN('Loan Inputs'!$B$17,C1202+E1202)+H1202)</f>
        <v/>
      </c>
      <c r="E1202" s="2" t="str">
        <f>IF(A1202="","",C1202*'Loan Inputs'!$B$15)</f>
        <v/>
      </c>
      <c r="F1202" s="2" t="str">
        <f t="shared" si="54"/>
        <v/>
      </c>
      <c r="G1202" s="2" t="str">
        <f t="shared" si="55"/>
        <v/>
      </c>
      <c r="H1202" s="2" t="str">
        <f>IF(A1202="","",MIN('Loan Inputs'!$B$18,MAX(0,C1202+E1202-'Loan Inputs'!$B$17)))</f>
        <v/>
      </c>
    </row>
    <row r="1203" spans="1:8" ht="22" customHeight="1">
      <c r="A1203" s="1" t="str">
        <f>IF(AND('Loan Inputs'!$B$12,1197&lt;=IF('Loan Inputs'!$B$12,'Loan Inputs'!$B$7,0)*'Loan Inputs'!$B$14+5*'Loan Inputs'!$B$14,ISNUMBER(G1202),G1202&gt;0),1197,"")</f>
        <v/>
      </c>
      <c r="B1203" s="4" t="str">
        <f>IF(A1203="","",IF('Loan Inputs'!$B$14=12,DATE(YEAR('Loan Inputs'!$B$8),MONTH('Loan Inputs'!$B$8)+A1203,DAY('Loan Inputs'!$B$8)),'Loan Inputs'!$B$8+A1203*IF('Loan Inputs'!$B$14=26,14,7)))</f>
        <v/>
      </c>
      <c r="C1203" s="2" t="str">
        <f t="shared" si="56"/>
        <v/>
      </c>
      <c r="D1203" s="2" t="str">
        <f>IF(A1203="","",MIN('Loan Inputs'!$B$17,C1203+E1203)+H1203)</f>
        <v/>
      </c>
      <c r="E1203" s="2" t="str">
        <f>IF(A1203="","",C1203*'Loan Inputs'!$B$15)</f>
        <v/>
      </c>
      <c r="F1203" s="2" t="str">
        <f t="shared" si="54"/>
        <v/>
      </c>
      <c r="G1203" s="2" t="str">
        <f t="shared" si="55"/>
        <v/>
      </c>
      <c r="H1203" s="2" t="str">
        <f>IF(A1203="","",MIN('Loan Inputs'!$B$18,MAX(0,C1203+E1203-'Loan Inputs'!$B$17)))</f>
        <v/>
      </c>
    </row>
    <row r="1204" spans="1:8" ht="22" customHeight="1">
      <c r="A1204" s="1" t="str">
        <f>IF(AND('Loan Inputs'!$B$12,1198&lt;=IF('Loan Inputs'!$B$12,'Loan Inputs'!$B$7,0)*'Loan Inputs'!$B$14+5*'Loan Inputs'!$B$14,ISNUMBER(G1203),G1203&gt;0),1198,"")</f>
        <v/>
      </c>
      <c r="B1204" s="4" t="str">
        <f>IF(A1204="","",IF('Loan Inputs'!$B$14=12,DATE(YEAR('Loan Inputs'!$B$8),MONTH('Loan Inputs'!$B$8)+A1204,DAY('Loan Inputs'!$B$8)),'Loan Inputs'!$B$8+A1204*IF('Loan Inputs'!$B$14=26,14,7)))</f>
        <v/>
      </c>
      <c r="C1204" s="2" t="str">
        <f t="shared" si="56"/>
        <v/>
      </c>
      <c r="D1204" s="2" t="str">
        <f>IF(A1204="","",MIN('Loan Inputs'!$B$17,C1204+E1204)+H1204)</f>
        <v/>
      </c>
      <c r="E1204" s="2" t="str">
        <f>IF(A1204="","",C1204*'Loan Inputs'!$B$15)</f>
        <v/>
      </c>
      <c r="F1204" s="2" t="str">
        <f t="shared" si="54"/>
        <v/>
      </c>
      <c r="G1204" s="2" t="str">
        <f t="shared" si="55"/>
        <v/>
      </c>
      <c r="H1204" s="2" t="str">
        <f>IF(A1204="","",MIN('Loan Inputs'!$B$18,MAX(0,C1204+E1204-'Loan Inputs'!$B$17)))</f>
        <v/>
      </c>
    </row>
    <row r="1205" spans="1:8" ht="22" customHeight="1">
      <c r="A1205" s="1" t="str">
        <f>IF(AND('Loan Inputs'!$B$12,1199&lt;=IF('Loan Inputs'!$B$12,'Loan Inputs'!$B$7,0)*'Loan Inputs'!$B$14+5*'Loan Inputs'!$B$14,ISNUMBER(G1204),G1204&gt;0),1199,"")</f>
        <v/>
      </c>
      <c r="B1205" s="4" t="str">
        <f>IF(A1205="","",IF('Loan Inputs'!$B$14=12,DATE(YEAR('Loan Inputs'!$B$8),MONTH('Loan Inputs'!$B$8)+A1205,DAY('Loan Inputs'!$B$8)),'Loan Inputs'!$B$8+A1205*IF('Loan Inputs'!$B$14=26,14,7)))</f>
        <v/>
      </c>
      <c r="C1205" s="2" t="str">
        <f t="shared" si="56"/>
        <v/>
      </c>
      <c r="D1205" s="2" t="str">
        <f>IF(A1205="","",MIN('Loan Inputs'!$B$17,C1205+E1205)+H1205)</f>
        <v/>
      </c>
      <c r="E1205" s="2" t="str">
        <f>IF(A1205="","",C1205*'Loan Inputs'!$B$15)</f>
        <v/>
      </c>
      <c r="F1205" s="2" t="str">
        <f t="shared" si="54"/>
        <v/>
      </c>
      <c r="G1205" s="2" t="str">
        <f t="shared" si="55"/>
        <v/>
      </c>
      <c r="H1205" s="2" t="str">
        <f>IF(A1205="","",MIN('Loan Inputs'!$B$18,MAX(0,C1205+E1205-'Loan Inputs'!$B$17)))</f>
        <v/>
      </c>
    </row>
    <row r="1206" spans="1:8" ht="22" customHeight="1">
      <c r="A1206" s="1" t="str">
        <f>IF(AND('Loan Inputs'!$B$12,1200&lt;=IF('Loan Inputs'!$B$12,'Loan Inputs'!$B$7,0)*'Loan Inputs'!$B$14+5*'Loan Inputs'!$B$14,ISNUMBER(G1205),G1205&gt;0),1200,"")</f>
        <v/>
      </c>
      <c r="B1206" s="4" t="str">
        <f>IF(A1206="","",IF('Loan Inputs'!$B$14=12,DATE(YEAR('Loan Inputs'!$B$8),MONTH('Loan Inputs'!$B$8)+A1206,DAY('Loan Inputs'!$B$8)),'Loan Inputs'!$B$8+A1206*IF('Loan Inputs'!$B$14=26,14,7)))</f>
        <v/>
      </c>
      <c r="C1206" s="2" t="str">
        <f t="shared" si="56"/>
        <v/>
      </c>
      <c r="D1206" s="2" t="str">
        <f>IF(A1206="","",MIN('Loan Inputs'!$B$17,C1206+E1206)+H1206)</f>
        <v/>
      </c>
      <c r="E1206" s="2" t="str">
        <f>IF(A1206="","",C1206*'Loan Inputs'!$B$15)</f>
        <v/>
      </c>
      <c r="F1206" s="2" t="str">
        <f t="shared" si="54"/>
        <v/>
      </c>
      <c r="G1206" s="2" t="str">
        <f t="shared" si="55"/>
        <v/>
      </c>
      <c r="H1206" s="2" t="str">
        <f>IF(A1206="","",MIN('Loan Inputs'!$B$18,MAX(0,C1206+E1206-'Loan Inputs'!$B$17)))</f>
        <v/>
      </c>
    </row>
    <row r="1207" spans="1:8" ht="22" customHeight="1">
      <c r="A1207" s="1" t="str">
        <f>IF(AND('Loan Inputs'!$B$12,1201&lt;=IF('Loan Inputs'!$B$12,'Loan Inputs'!$B$7,0)*'Loan Inputs'!$B$14+5*'Loan Inputs'!$B$14,ISNUMBER(G1206),G1206&gt;0),1201,"")</f>
        <v/>
      </c>
      <c r="B1207" s="4" t="str">
        <f>IF(A1207="","",IF('Loan Inputs'!$B$14=12,DATE(YEAR('Loan Inputs'!$B$8),MONTH('Loan Inputs'!$B$8)+A1207,DAY('Loan Inputs'!$B$8)),'Loan Inputs'!$B$8+A1207*IF('Loan Inputs'!$B$14=26,14,7)))</f>
        <v/>
      </c>
      <c r="C1207" s="2" t="str">
        <f t="shared" si="56"/>
        <v/>
      </c>
      <c r="D1207" s="2" t="str">
        <f>IF(A1207="","",MIN('Loan Inputs'!$B$17,C1207+E1207)+H1207)</f>
        <v/>
      </c>
      <c r="E1207" s="2" t="str">
        <f>IF(A1207="","",C1207*'Loan Inputs'!$B$15)</f>
        <v/>
      </c>
      <c r="F1207" s="2" t="str">
        <f t="shared" si="54"/>
        <v/>
      </c>
      <c r="G1207" s="2" t="str">
        <f t="shared" si="55"/>
        <v/>
      </c>
      <c r="H1207" s="2" t="str">
        <f>IF(A1207="","",MIN('Loan Inputs'!$B$18,MAX(0,C1207+E1207-'Loan Inputs'!$B$17)))</f>
        <v/>
      </c>
    </row>
    <row r="1208" spans="1:8" ht="22" customHeight="1">
      <c r="A1208" s="1" t="str">
        <f>IF(AND('Loan Inputs'!$B$12,1202&lt;=IF('Loan Inputs'!$B$12,'Loan Inputs'!$B$7,0)*'Loan Inputs'!$B$14+5*'Loan Inputs'!$B$14,ISNUMBER(G1207),G1207&gt;0),1202,"")</f>
        <v/>
      </c>
      <c r="B1208" s="4" t="str">
        <f>IF(A1208="","",IF('Loan Inputs'!$B$14=12,DATE(YEAR('Loan Inputs'!$B$8),MONTH('Loan Inputs'!$B$8)+A1208,DAY('Loan Inputs'!$B$8)),'Loan Inputs'!$B$8+A1208*IF('Loan Inputs'!$B$14=26,14,7)))</f>
        <v/>
      </c>
      <c r="C1208" s="2" t="str">
        <f t="shared" si="56"/>
        <v/>
      </c>
      <c r="D1208" s="2" t="str">
        <f>IF(A1208="","",MIN('Loan Inputs'!$B$17,C1208+E1208)+H1208)</f>
        <v/>
      </c>
      <c r="E1208" s="2" t="str">
        <f>IF(A1208="","",C1208*'Loan Inputs'!$B$15)</f>
        <v/>
      </c>
      <c r="F1208" s="2" t="str">
        <f t="shared" si="54"/>
        <v/>
      </c>
      <c r="G1208" s="2" t="str">
        <f t="shared" si="55"/>
        <v/>
      </c>
      <c r="H1208" s="2" t="str">
        <f>IF(A1208="","",MIN('Loan Inputs'!$B$18,MAX(0,C1208+E1208-'Loan Inputs'!$B$17)))</f>
        <v/>
      </c>
    </row>
    <row r="1209" spans="1:8" ht="22" customHeight="1">
      <c r="A1209" s="1" t="str">
        <f>IF(AND('Loan Inputs'!$B$12,1203&lt;=IF('Loan Inputs'!$B$12,'Loan Inputs'!$B$7,0)*'Loan Inputs'!$B$14+5*'Loan Inputs'!$B$14,ISNUMBER(G1208),G1208&gt;0),1203,"")</f>
        <v/>
      </c>
      <c r="B1209" s="4" t="str">
        <f>IF(A1209="","",IF('Loan Inputs'!$B$14=12,DATE(YEAR('Loan Inputs'!$B$8),MONTH('Loan Inputs'!$B$8)+A1209,DAY('Loan Inputs'!$B$8)),'Loan Inputs'!$B$8+A1209*IF('Loan Inputs'!$B$14=26,14,7)))</f>
        <v/>
      </c>
      <c r="C1209" s="2" t="str">
        <f t="shared" si="56"/>
        <v/>
      </c>
      <c r="D1209" s="2" t="str">
        <f>IF(A1209="","",MIN('Loan Inputs'!$B$17,C1209+E1209)+H1209)</f>
        <v/>
      </c>
      <c r="E1209" s="2" t="str">
        <f>IF(A1209="","",C1209*'Loan Inputs'!$B$15)</f>
        <v/>
      </c>
      <c r="F1209" s="2" t="str">
        <f t="shared" si="54"/>
        <v/>
      </c>
      <c r="G1209" s="2" t="str">
        <f t="shared" si="55"/>
        <v/>
      </c>
      <c r="H1209" s="2" t="str">
        <f>IF(A1209="","",MIN('Loan Inputs'!$B$18,MAX(0,C1209+E1209-'Loan Inputs'!$B$17)))</f>
        <v/>
      </c>
    </row>
    <row r="1210" spans="1:8" ht="22" customHeight="1">
      <c r="A1210" s="1" t="str">
        <f>IF(AND('Loan Inputs'!$B$12,1204&lt;=IF('Loan Inputs'!$B$12,'Loan Inputs'!$B$7,0)*'Loan Inputs'!$B$14+5*'Loan Inputs'!$B$14,ISNUMBER(G1209),G1209&gt;0),1204,"")</f>
        <v/>
      </c>
      <c r="B1210" s="4" t="str">
        <f>IF(A1210="","",IF('Loan Inputs'!$B$14=12,DATE(YEAR('Loan Inputs'!$B$8),MONTH('Loan Inputs'!$B$8)+A1210,DAY('Loan Inputs'!$B$8)),'Loan Inputs'!$B$8+A1210*IF('Loan Inputs'!$B$14=26,14,7)))</f>
        <v/>
      </c>
      <c r="C1210" s="2" t="str">
        <f t="shared" si="56"/>
        <v/>
      </c>
      <c r="D1210" s="2" t="str">
        <f>IF(A1210="","",MIN('Loan Inputs'!$B$17,C1210+E1210)+H1210)</f>
        <v/>
      </c>
      <c r="E1210" s="2" t="str">
        <f>IF(A1210="","",C1210*'Loan Inputs'!$B$15)</f>
        <v/>
      </c>
      <c r="F1210" s="2" t="str">
        <f t="shared" si="54"/>
        <v/>
      </c>
      <c r="G1210" s="2" t="str">
        <f t="shared" si="55"/>
        <v/>
      </c>
      <c r="H1210" s="2" t="str">
        <f>IF(A1210="","",MIN('Loan Inputs'!$B$18,MAX(0,C1210+E1210-'Loan Inputs'!$B$17)))</f>
        <v/>
      </c>
    </row>
    <row r="1211" spans="1:8" ht="22" customHeight="1">
      <c r="A1211" s="1" t="str">
        <f>IF(AND('Loan Inputs'!$B$12,1205&lt;=IF('Loan Inputs'!$B$12,'Loan Inputs'!$B$7,0)*'Loan Inputs'!$B$14+5*'Loan Inputs'!$B$14,ISNUMBER(G1210),G1210&gt;0),1205,"")</f>
        <v/>
      </c>
      <c r="B1211" s="4" t="str">
        <f>IF(A1211="","",IF('Loan Inputs'!$B$14=12,DATE(YEAR('Loan Inputs'!$B$8),MONTH('Loan Inputs'!$B$8)+A1211,DAY('Loan Inputs'!$B$8)),'Loan Inputs'!$B$8+A1211*IF('Loan Inputs'!$B$14=26,14,7)))</f>
        <v/>
      </c>
      <c r="C1211" s="2" t="str">
        <f t="shared" si="56"/>
        <v/>
      </c>
      <c r="D1211" s="2" t="str">
        <f>IF(A1211="","",MIN('Loan Inputs'!$B$17,C1211+E1211)+H1211)</f>
        <v/>
      </c>
      <c r="E1211" s="2" t="str">
        <f>IF(A1211="","",C1211*'Loan Inputs'!$B$15)</f>
        <v/>
      </c>
      <c r="F1211" s="2" t="str">
        <f t="shared" si="54"/>
        <v/>
      </c>
      <c r="G1211" s="2" t="str">
        <f t="shared" si="55"/>
        <v/>
      </c>
      <c r="H1211" s="2" t="str">
        <f>IF(A1211="","",MIN('Loan Inputs'!$B$18,MAX(0,C1211+E1211-'Loan Inputs'!$B$17)))</f>
        <v/>
      </c>
    </row>
    <row r="1212" spans="1:8" ht="22" customHeight="1">
      <c r="A1212" s="1" t="str">
        <f>IF(AND('Loan Inputs'!$B$12,1206&lt;=IF('Loan Inputs'!$B$12,'Loan Inputs'!$B$7,0)*'Loan Inputs'!$B$14+5*'Loan Inputs'!$B$14,ISNUMBER(G1211),G1211&gt;0),1206,"")</f>
        <v/>
      </c>
      <c r="B1212" s="4" t="str">
        <f>IF(A1212="","",IF('Loan Inputs'!$B$14=12,DATE(YEAR('Loan Inputs'!$B$8),MONTH('Loan Inputs'!$B$8)+A1212,DAY('Loan Inputs'!$B$8)),'Loan Inputs'!$B$8+A1212*IF('Loan Inputs'!$B$14=26,14,7)))</f>
        <v/>
      </c>
      <c r="C1212" s="2" t="str">
        <f t="shared" si="56"/>
        <v/>
      </c>
      <c r="D1212" s="2" t="str">
        <f>IF(A1212="","",MIN('Loan Inputs'!$B$17,C1212+E1212)+H1212)</f>
        <v/>
      </c>
      <c r="E1212" s="2" t="str">
        <f>IF(A1212="","",C1212*'Loan Inputs'!$B$15)</f>
        <v/>
      </c>
      <c r="F1212" s="2" t="str">
        <f t="shared" si="54"/>
        <v/>
      </c>
      <c r="G1212" s="2" t="str">
        <f t="shared" si="55"/>
        <v/>
      </c>
      <c r="H1212" s="2" t="str">
        <f>IF(A1212="","",MIN('Loan Inputs'!$B$18,MAX(0,C1212+E1212-'Loan Inputs'!$B$17)))</f>
        <v/>
      </c>
    </row>
    <row r="1213" spans="1:8" ht="22" customHeight="1">
      <c r="A1213" s="1" t="str">
        <f>IF(AND('Loan Inputs'!$B$12,1207&lt;=IF('Loan Inputs'!$B$12,'Loan Inputs'!$B$7,0)*'Loan Inputs'!$B$14+5*'Loan Inputs'!$B$14,ISNUMBER(G1212),G1212&gt;0),1207,"")</f>
        <v/>
      </c>
      <c r="B1213" s="4" t="str">
        <f>IF(A1213="","",IF('Loan Inputs'!$B$14=12,DATE(YEAR('Loan Inputs'!$B$8),MONTH('Loan Inputs'!$B$8)+A1213,DAY('Loan Inputs'!$B$8)),'Loan Inputs'!$B$8+A1213*IF('Loan Inputs'!$B$14=26,14,7)))</f>
        <v/>
      </c>
      <c r="C1213" s="2" t="str">
        <f t="shared" si="56"/>
        <v/>
      </c>
      <c r="D1213" s="2" t="str">
        <f>IF(A1213="","",MIN('Loan Inputs'!$B$17,C1213+E1213)+H1213)</f>
        <v/>
      </c>
      <c r="E1213" s="2" t="str">
        <f>IF(A1213="","",C1213*'Loan Inputs'!$B$15)</f>
        <v/>
      </c>
      <c r="F1213" s="2" t="str">
        <f t="shared" si="54"/>
        <v/>
      </c>
      <c r="G1213" s="2" t="str">
        <f t="shared" si="55"/>
        <v/>
      </c>
      <c r="H1213" s="2" t="str">
        <f>IF(A1213="","",MIN('Loan Inputs'!$B$18,MAX(0,C1213+E1213-'Loan Inputs'!$B$17)))</f>
        <v/>
      </c>
    </row>
    <row r="1214" spans="1:8" ht="22" customHeight="1">
      <c r="A1214" s="1" t="str">
        <f>IF(AND('Loan Inputs'!$B$12,1208&lt;=IF('Loan Inputs'!$B$12,'Loan Inputs'!$B$7,0)*'Loan Inputs'!$B$14+5*'Loan Inputs'!$B$14,ISNUMBER(G1213),G1213&gt;0),1208,"")</f>
        <v/>
      </c>
      <c r="B1214" s="4" t="str">
        <f>IF(A1214="","",IF('Loan Inputs'!$B$14=12,DATE(YEAR('Loan Inputs'!$B$8),MONTH('Loan Inputs'!$B$8)+A1214,DAY('Loan Inputs'!$B$8)),'Loan Inputs'!$B$8+A1214*IF('Loan Inputs'!$B$14=26,14,7)))</f>
        <v/>
      </c>
      <c r="C1214" s="2" t="str">
        <f t="shared" si="56"/>
        <v/>
      </c>
      <c r="D1214" s="2" t="str">
        <f>IF(A1214="","",MIN('Loan Inputs'!$B$17,C1214+E1214)+H1214)</f>
        <v/>
      </c>
      <c r="E1214" s="2" t="str">
        <f>IF(A1214="","",C1214*'Loan Inputs'!$B$15)</f>
        <v/>
      </c>
      <c r="F1214" s="2" t="str">
        <f t="shared" si="54"/>
        <v/>
      </c>
      <c r="G1214" s="2" t="str">
        <f t="shared" si="55"/>
        <v/>
      </c>
      <c r="H1214" s="2" t="str">
        <f>IF(A1214="","",MIN('Loan Inputs'!$B$18,MAX(0,C1214+E1214-'Loan Inputs'!$B$17)))</f>
        <v/>
      </c>
    </row>
    <row r="1215" spans="1:8" ht="22" customHeight="1">
      <c r="A1215" s="1" t="str">
        <f>IF(AND('Loan Inputs'!$B$12,1209&lt;=IF('Loan Inputs'!$B$12,'Loan Inputs'!$B$7,0)*'Loan Inputs'!$B$14+5*'Loan Inputs'!$B$14,ISNUMBER(G1214),G1214&gt;0),1209,"")</f>
        <v/>
      </c>
      <c r="B1215" s="4" t="str">
        <f>IF(A1215="","",IF('Loan Inputs'!$B$14=12,DATE(YEAR('Loan Inputs'!$B$8),MONTH('Loan Inputs'!$B$8)+A1215,DAY('Loan Inputs'!$B$8)),'Loan Inputs'!$B$8+A1215*IF('Loan Inputs'!$B$14=26,14,7)))</f>
        <v/>
      </c>
      <c r="C1215" s="2" t="str">
        <f t="shared" si="56"/>
        <v/>
      </c>
      <c r="D1215" s="2" t="str">
        <f>IF(A1215="","",MIN('Loan Inputs'!$B$17,C1215+E1215)+H1215)</f>
        <v/>
      </c>
      <c r="E1215" s="2" t="str">
        <f>IF(A1215="","",C1215*'Loan Inputs'!$B$15)</f>
        <v/>
      </c>
      <c r="F1215" s="2" t="str">
        <f t="shared" si="54"/>
        <v/>
      </c>
      <c r="G1215" s="2" t="str">
        <f t="shared" si="55"/>
        <v/>
      </c>
      <c r="H1215" s="2" t="str">
        <f>IF(A1215="","",MIN('Loan Inputs'!$B$18,MAX(0,C1215+E1215-'Loan Inputs'!$B$17)))</f>
        <v/>
      </c>
    </row>
    <row r="1216" spans="1:8" ht="22" customHeight="1">
      <c r="A1216" s="1" t="str">
        <f>IF(AND('Loan Inputs'!$B$12,1210&lt;=IF('Loan Inputs'!$B$12,'Loan Inputs'!$B$7,0)*'Loan Inputs'!$B$14+5*'Loan Inputs'!$B$14,ISNUMBER(G1215),G1215&gt;0),1210,"")</f>
        <v/>
      </c>
      <c r="B1216" s="4" t="str">
        <f>IF(A1216="","",IF('Loan Inputs'!$B$14=12,DATE(YEAR('Loan Inputs'!$B$8),MONTH('Loan Inputs'!$B$8)+A1216,DAY('Loan Inputs'!$B$8)),'Loan Inputs'!$B$8+A1216*IF('Loan Inputs'!$B$14=26,14,7)))</f>
        <v/>
      </c>
      <c r="C1216" s="2" t="str">
        <f t="shared" si="56"/>
        <v/>
      </c>
      <c r="D1216" s="2" t="str">
        <f>IF(A1216="","",MIN('Loan Inputs'!$B$17,C1216+E1216)+H1216)</f>
        <v/>
      </c>
      <c r="E1216" s="2" t="str">
        <f>IF(A1216="","",C1216*'Loan Inputs'!$B$15)</f>
        <v/>
      </c>
      <c r="F1216" s="2" t="str">
        <f t="shared" si="54"/>
        <v/>
      </c>
      <c r="G1216" s="2" t="str">
        <f t="shared" si="55"/>
        <v/>
      </c>
      <c r="H1216" s="2" t="str">
        <f>IF(A1216="","",MIN('Loan Inputs'!$B$18,MAX(0,C1216+E1216-'Loan Inputs'!$B$17)))</f>
        <v/>
      </c>
    </row>
    <row r="1217" spans="1:8" ht="22" customHeight="1">
      <c r="A1217" s="1" t="str">
        <f>IF(AND('Loan Inputs'!$B$12,1211&lt;=IF('Loan Inputs'!$B$12,'Loan Inputs'!$B$7,0)*'Loan Inputs'!$B$14+5*'Loan Inputs'!$B$14,ISNUMBER(G1216),G1216&gt;0),1211,"")</f>
        <v/>
      </c>
      <c r="B1217" s="4" t="str">
        <f>IF(A1217="","",IF('Loan Inputs'!$B$14=12,DATE(YEAR('Loan Inputs'!$B$8),MONTH('Loan Inputs'!$B$8)+A1217,DAY('Loan Inputs'!$B$8)),'Loan Inputs'!$B$8+A1217*IF('Loan Inputs'!$B$14=26,14,7)))</f>
        <v/>
      </c>
      <c r="C1217" s="2" t="str">
        <f t="shared" si="56"/>
        <v/>
      </c>
      <c r="D1217" s="2" t="str">
        <f>IF(A1217="","",MIN('Loan Inputs'!$B$17,C1217+E1217)+H1217)</f>
        <v/>
      </c>
      <c r="E1217" s="2" t="str">
        <f>IF(A1217="","",C1217*'Loan Inputs'!$B$15)</f>
        <v/>
      </c>
      <c r="F1217" s="2" t="str">
        <f t="shared" si="54"/>
        <v/>
      </c>
      <c r="G1217" s="2" t="str">
        <f t="shared" si="55"/>
        <v/>
      </c>
      <c r="H1217" s="2" t="str">
        <f>IF(A1217="","",MIN('Loan Inputs'!$B$18,MAX(0,C1217+E1217-'Loan Inputs'!$B$17)))</f>
        <v/>
      </c>
    </row>
    <row r="1218" spans="1:8" ht="22" customHeight="1">
      <c r="A1218" s="1" t="str">
        <f>IF(AND('Loan Inputs'!$B$12,1212&lt;=IF('Loan Inputs'!$B$12,'Loan Inputs'!$B$7,0)*'Loan Inputs'!$B$14+5*'Loan Inputs'!$B$14,ISNUMBER(G1217),G1217&gt;0),1212,"")</f>
        <v/>
      </c>
      <c r="B1218" s="4" t="str">
        <f>IF(A1218="","",IF('Loan Inputs'!$B$14=12,DATE(YEAR('Loan Inputs'!$B$8),MONTH('Loan Inputs'!$B$8)+A1218,DAY('Loan Inputs'!$B$8)),'Loan Inputs'!$B$8+A1218*IF('Loan Inputs'!$B$14=26,14,7)))</f>
        <v/>
      </c>
      <c r="C1218" s="2" t="str">
        <f t="shared" si="56"/>
        <v/>
      </c>
      <c r="D1218" s="2" t="str">
        <f>IF(A1218="","",MIN('Loan Inputs'!$B$17,C1218+E1218)+H1218)</f>
        <v/>
      </c>
      <c r="E1218" s="2" t="str">
        <f>IF(A1218="","",C1218*'Loan Inputs'!$B$15)</f>
        <v/>
      </c>
      <c r="F1218" s="2" t="str">
        <f t="shared" si="54"/>
        <v/>
      </c>
      <c r="G1218" s="2" t="str">
        <f t="shared" si="55"/>
        <v/>
      </c>
      <c r="H1218" s="2" t="str">
        <f>IF(A1218="","",MIN('Loan Inputs'!$B$18,MAX(0,C1218+E1218-'Loan Inputs'!$B$17)))</f>
        <v/>
      </c>
    </row>
    <row r="1219" spans="1:8" ht="22" customHeight="1">
      <c r="A1219" s="1" t="str">
        <f>IF(AND('Loan Inputs'!$B$12,1213&lt;=IF('Loan Inputs'!$B$12,'Loan Inputs'!$B$7,0)*'Loan Inputs'!$B$14+5*'Loan Inputs'!$B$14,ISNUMBER(G1218),G1218&gt;0),1213,"")</f>
        <v/>
      </c>
      <c r="B1219" s="4" t="str">
        <f>IF(A1219="","",IF('Loan Inputs'!$B$14=12,DATE(YEAR('Loan Inputs'!$B$8),MONTH('Loan Inputs'!$B$8)+A1219,DAY('Loan Inputs'!$B$8)),'Loan Inputs'!$B$8+A1219*IF('Loan Inputs'!$B$14=26,14,7)))</f>
        <v/>
      </c>
      <c r="C1219" s="2" t="str">
        <f t="shared" si="56"/>
        <v/>
      </c>
      <c r="D1219" s="2" t="str">
        <f>IF(A1219="","",MIN('Loan Inputs'!$B$17,C1219+E1219)+H1219)</f>
        <v/>
      </c>
      <c r="E1219" s="2" t="str">
        <f>IF(A1219="","",C1219*'Loan Inputs'!$B$15)</f>
        <v/>
      </c>
      <c r="F1219" s="2" t="str">
        <f t="shared" si="54"/>
        <v/>
      </c>
      <c r="G1219" s="2" t="str">
        <f t="shared" si="55"/>
        <v/>
      </c>
      <c r="H1219" s="2" t="str">
        <f>IF(A1219="","",MIN('Loan Inputs'!$B$18,MAX(0,C1219+E1219-'Loan Inputs'!$B$17)))</f>
        <v/>
      </c>
    </row>
    <row r="1220" spans="1:8" ht="22" customHeight="1">
      <c r="A1220" s="1" t="str">
        <f>IF(AND('Loan Inputs'!$B$12,1214&lt;=IF('Loan Inputs'!$B$12,'Loan Inputs'!$B$7,0)*'Loan Inputs'!$B$14+5*'Loan Inputs'!$B$14,ISNUMBER(G1219),G1219&gt;0),1214,"")</f>
        <v/>
      </c>
      <c r="B1220" s="4" t="str">
        <f>IF(A1220="","",IF('Loan Inputs'!$B$14=12,DATE(YEAR('Loan Inputs'!$B$8),MONTH('Loan Inputs'!$B$8)+A1220,DAY('Loan Inputs'!$B$8)),'Loan Inputs'!$B$8+A1220*IF('Loan Inputs'!$B$14=26,14,7)))</f>
        <v/>
      </c>
      <c r="C1220" s="2" t="str">
        <f t="shared" si="56"/>
        <v/>
      </c>
      <c r="D1220" s="2" t="str">
        <f>IF(A1220="","",MIN('Loan Inputs'!$B$17,C1220+E1220)+H1220)</f>
        <v/>
      </c>
      <c r="E1220" s="2" t="str">
        <f>IF(A1220="","",C1220*'Loan Inputs'!$B$15)</f>
        <v/>
      </c>
      <c r="F1220" s="2" t="str">
        <f t="shared" si="54"/>
        <v/>
      </c>
      <c r="G1220" s="2" t="str">
        <f t="shared" si="55"/>
        <v/>
      </c>
      <c r="H1220" s="2" t="str">
        <f>IF(A1220="","",MIN('Loan Inputs'!$B$18,MAX(0,C1220+E1220-'Loan Inputs'!$B$17)))</f>
        <v/>
      </c>
    </row>
    <row r="1221" spans="1:8" ht="22" customHeight="1">
      <c r="A1221" s="1" t="str">
        <f>IF(AND('Loan Inputs'!$B$12,1215&lt;=IF('Loan Inputs'!$B$12,'Loan Inputs'!$B$7,0)*'Loan Inputs'!$B$14+5*'Loan Inputs'!$B$14,ISNUMBER(G1220),G1220&gt;0),1215,"")</f>
        <v/>
      </c>
      <c r="B1221" s="4" t="str">
        <f>IF(A1221="","",IF('Loan Inputs'!$B$14=12,DATE(YEAR('Loan Inputs'!$B$8),MONTH('Loan Inputs'!$B$8)+A1221,DAY('Loan Inputs'!$B$8)),'Loan Inputs'!$B$8+A1221*IF('Loan Inputs'!$B$14=26,14,7)))</f>
        <v/>
      </c>
      <c r="C1221" s="2" t="str">
        <f t="shared" si="56"/>
        <v/>
      </c>
      <c r="D1221" s="2" t="str">
        <f>IF(A1221="","",MIN('Loan Inputs'!$B$17,C1221+E1221)+H1221)</f>
        <v/>
      </c>
      <c r="E1221" s="2" t="str">
        <f>IF(A1221="","",C1221*'Loan Inputs'!$B$15)</f>
        <v/>
      </c>
      <c r="F1221" s="2" t="str">
        <f t="shared" si="54"/>
        <v/>
      </c>
      <c r="G1221" s="2" t="str">
        <f t="shared" si="55"/>
        <v/>
      </c>
      <c r="H1221" s="2" t="str">
        <f>IF(A1221="","",MIN('Loan Inputs'!$B$18,MAX(0,C1221+E1221-'Loan Inputs'!$B$17)))</f>
        <v/>
      </c>
    </row>
    <row r="1222" spans="1:8" ht="22" customHeight="1">
      <c r="A1222" s="1" t="str">
        <f>IF(AND('Loan Inputs'!$B$12,1216&lt;=IF('Loan Inputs'!$B$12,'Loan Inputs'!$B$7,0)*'Loan Inputs'!$B$14+5*'Loan Inputs'!$B$14,ISNUMBER(G1221),G1221&gt;0),1216,"")</f>
        <v/>
      </c>
      <c r="B1222" s="4" t="str">
        <f>IF(A1222="","",IF('Loan Inputs'!$B$14=12,DATE(YEAR('Loan Inputs'!$B$8),MONTH('Loan Inputs'!$B$8)+A1222,DAY('Loan Inputs'!$B$8)),'Loan Inputs'!$B$8+A1222*IF('Loan Inputs'!$B$14=26,14,7)))</f>
        <v/>
      </c>
      <c r="C1222" s="2" t="str">
        <f t="shared" si="56"/>
        <v/>
      </c>
      <c r="D1222" s="2" t="str">
        <f>IF(A1222="","",MIN('Loan Inputs'!$B$17,C1222+E1222)+H1222)</f>
        <v/>
      </c>
      <c r="E1222" s="2" t="str">
        <f>IF(A1222="","",C1222*'Loan Inputs'!$B$15)</f>
        <v/>
      </c>
      <c r="F1222" s="2" t="str">
        <f t="shared" si="54"/>
        <v/>
      </c>
      <c r="G1222" s="2" t="str">
        <f t="shared" si="55"/>
        <v/>
      </c>
      <c r="H1222" s="2" t="str">
        <f>IF(A1222="","",MIN('Loan Inputs'!$B$18,MAX(0,C1222+E1222-'Loan Inputs'!$B$17)))</f>
        <v/>
      </c>
    </row>
    <row r="1223" spans="1:8" ht="22" customHeight="1">
      <c r="A1223" s="1" t="str">
        <f>IF(AND('Loan Inputs'!$B$12,1217&lt;=IF('Loan Inputs'!$B$12,'Loan Inputs'!$B$7,0)*'Loan Inputs'!$B$14+5*'Loan Inputs'!$B$14,ISNUMBER(G1222),G1222&gt;0),1217,"")</f>
        <v/>
      </c>
      <c r="B1223" s="4" t="str">
        <f>IF(A1223="","",IF('Loan Inputs'!$B$14=12,DATE(YEAR('Loan Inputs'!$B$8),MONTH('Loan Inputs'!$B$8)+A1223,DAY('Loan Inputs'!$B$8)),'Loan Inputs'!$B$8+A1223*IF('Loan Inputs'!$B$14=26,14,7)))</f>
        <v/>
      </c>
      <c r="C1223" s="2" t="str">
        <f t="shared" si="56"/>
        <v/>
      </c>
      <c r="D1223" s="2" t="str">
        <f>IF(A1223="","",MIN('Loan Inputs'!$B$17,C1223+E1223)+H1223)</f>
        <v/>
      </c>
      <c r="E1223" s="2" t="str">
        <f>IF(A1223="","",C1223*'Loan Inputs'!$B$15)</f>
        <v/>
      </c>
      <c r="F1223" s="2" t="str">
        <f t="shared" ref="F1223:F1286" si="57">IF(A1223="","",MIN(C1223,D1223-E1223))</f>
        <v/>
      </c>
      <c r="G1223" s="2" t="str">
        <f t="shared" ref="G1223:G1286" si="58">IF(A1223="","",IF(C1223-F1223&lt;0.0000001,0,MAX(0,C1223-F1223)))</f>
        <v/>
      </c>
      <c r="H1223" s="2" t="str">
        <f>IF(A1223="","",MIN('Loan Inputs'!$B$18,MAX(0,C1223+E1223-'Loan Inputs'!$B$17)))</f>
        <v/>
      </c>
    </row>
    <row r="1224" spans="1:8" ht="22" customHeight="1">
      <c r="A1224" s="1" t="str">
        <f>IF(AND('Loan Inputs'!$B$12,1218&lt;=IF('Loan Inputs'!$B$12,'Loan Inputs'!$B$7,0)*'Loan Inputs'!$B$14+5*'Loan Inputs'!$B$14,ISNUMBER(G1223),G1223&gt;0),1218,"")</f>
        <v/>
      </c>
      <c r="B1224" s="4" t="str">
        <f>IF(A1224="","",IF('Loan Inputs'!$B$14=12,DATE(YEAR('Loan Inputs'!$B$8),MONTH('Loan Inputs'!$B$8)+A1224,DAY('Loan Inputs'!$B$8)),'Loan Inputs'!$B$8+A1224*IF('Loan Inputs'!$B$14=26,14,7)))</f>
        <v/>
      </c>
      <c r="C1224" s="2" t="str">
        <f t="shared" ref="C1224:C1287" si="59">IF(A1224="","",G1223)</f>
        <v/>
      </c>
      <c r="D1224" s="2" t="str">
        <f>IF(A1224="","",MIN('Loan Inputs'!$B$17,C1224+E1224)+H1224)</f>
        <v/>
      </c>
      <c r="E1224" s="2" t="str">
        <f>IF(A1224="","",C1224*'Loan Inputs'!$B$15)</f>
        <v/>
      </c>
      <c r="F1224" s="2" t="str">
        <f t="shared" si="57"/>
        <v/>
      </c>
      <c r="G1224" s="2" t="str">
        <f t="shared" si="58"/>
        <v/>
      </c>
      <c r="H1224" s="2" t="str">
        <f>IF(A1224="","",MIN('Loan Inputs'!$B$18,MAX(0,C1224+E1224-'Loan Inputs'!$B$17)))</f>
        <v/>
      </c>
    </row>
    <row r="1225" spans="1:8" ht="22" customHeight="1">
      <c r="A1225" s="1" t="str">
        <f>IF(AND('Loan Inputs'!$B$12,1219&lt;=IF('Loan Inputs'!$B$12,'Loan Inputs'!$B$7,0)*'Loan Inputs'!$B$14+5*'Loan Inputs'!$B$14,ISNUMBER(G1224),G1224&gt;0),1219,"")</f>
        <v/>
      </c>
      <c r="B1225" s="4" t="str">
        <f>IF(A1225="","",IF('Loan Inputs'!$B$14=12,DATE(YEAR('Loan Inputs'!$B$8),MONTH('Loan Inputs'!$B$8)+A1225,DAY('Loan Inputs'!$B$8)),'Loan Inputs'!$B$8+A1225*IF('Loan Inputs'!$B$14=26,14,7)))</f>
        <v/>
      </c>
      <c r="C1225" s="2" t="str">
        <f t="shared" si="59"/>
        <v/>
      </c>
      <c r="D1225" s="2" t="str">
        <f>IF(A1225="","",MIN('Loan Inputs'!$B$17,C1225+E1225)+H1225)</f>
        <v/>
      </c>
      <c r="E1225" s="2" t="str">
        <f>IF(A1225="","",C1225*'Loan Inputs'!$B$15)</f>
        <v/>
      </c>
      <c r="F1225" s="2" t="str">
        <f t="shared" si="57"/>
        <v/>
      </c>
      <c r="G1225" s="2" t="str">
        <f t="shared" si="58"/>
        <v/>
      </c>
      <c r="H1225" s="2" t="str">
        <f>IF(A1225="","",MIN('Loan Inputs'!$B$18,MAX(0,C1225+E1225-'Loan Inputs'!$B$17)))</f>
        <v/>
      </c>
    </row>
    <row r="1226" spans="1:8" ht="22" customHeight="1">
      <c r="A1226" s="1" t="str">
        <f>IF(AND('Loan Inputs'!$B$12,1220&lt;=IF('Loan Inputs'!$B$12,'Loan Inputs'!$B$7,0)*'Loan Inputs'!$B$14+5*'Loan Inputs'!$B$14,ISNUMBER(G1225),G1225&gt;0),1220,"")</f>
        <v/>
      </c>
      <c r="B1226" s="4" t="str">
        <f>IF(A1226="","",IF('Loan Inputs'!$B$14=12,DATE(YEAR('Loan Inputs'!$B$8),MONTH('Loan Inputs'!$B$8)+A1226,DAY('Loan Inputs'!$B$8)),'Loan Inputs'!$B$8+A1226*IF('Loan Inputs'!$B$14=26,14,7)))</f>
        <v/>
      </c>
      <c r="C1226" s="2" t="str">
        <f t="shared" si="59"/>
        <v/>
      </c>
      <c r="D1226" s="2" t="str">
        <f>IF(A1226="","",MIN('Loan Inputs'!$B$17,C1226+E1226)+H1226)</f>
        <v/>
      </c>
      <c r="E1226" s="2" t="str">
        <f>IF(A1226="","",C1226*'Loan Inputs'!$B$15)</f>
        <v/>
      </c>
      <c r="F1226" s="2" t="str">
        <f t="shared" si="57"/>
        <v/>
      </c>
      <c r="G1226" s="2" t="str">
        <f t="shared" si="58"/>
        <v/>
      </c>
      <c r="H1226" s="2" t="str">
        <f>IF(A1226="","",MIN('Loan Inputs'!$B$18,MAX(0,C1226+E1226-'Loan Inputs'!$B$17)))</f>
        <v/>
      </c>
    </row>
    <row r="1227" spans="1:8" ht="22" customHeight="1">
      <c r="A1227" s="1" t="str">
        <f>IF(AND('Loan Inputs'!$B$12,1221&lt;=IF('Loan Inputs'!$B$12,'Loan Inputs'!$B$7,0)*'Loan Inputs'!$B$14+5*'Loan Inputs'!$B$14,ISNUMBER(G1226),G1226&gt;0),1221,"")</f>
        <v/>
      </c>
      <c r="B1227" s="4" t="str">
        <f>IF(A1227="","",IF('Loan Inputs'!$B$14=12,DATE(YEAR('Loan Inputs'!$B$8),MONTH('Loan Inputs'!$B$8)+A1227,DAY('Loan Inputs'!$B$8)),'Loan Inputs'!$B$8+A1227*IF('Loan Inputs'!$B$14=26,14,7)))</f>
        <v/>
      </c>
      <c r="C1227" s="2" t="str">
        <f t="shared" si="59"/>
        <v/>
      </c>
      <c r="D1227" s="2" t="str">
        <f>IF(A1227="","",MIN('Loan Inputs'!$B$17,C1227+E1227)+H1227)</f>
        <v/>
      </c>
      <c r="E1227" s="2" t="str">
        <f>IF(A1227="","",C1227*'Loan Inputs'!$B$15)</f>
        <v/>
      </c>
      <c r="F1227" s="2" t="str">
        <f t="shared" si="57"/>
        <v/>
      </c>
      <c r="G1227" s="2" t="str">
        <f t="shared" si="58"/>
        <v/>
      </c>
      <c r="H1227" s="2" t="str">
        <f>IF(A1227="","",MIN('Loan Inputs'!$B$18,MAX(0,C1227+E1227-'Loan Inputs'!$B$17)))</f>
        <v/>
      </c>
    </row>
    <row r="1228" spans="1:8" ht="22" customHeight="1">
      <c r="A1228" s="1" t="str">
        <f>IF(AND('Loan Inputs'!$B$12,1222&lt;=IF('Loan Inputs'!$B$12,'Loan Inputs'!$B$7,0)*'Loan Inputs'!$B$14+5*'Loan Inputs'!$B$14,ISNUMBER(G1227),G1227&gt;0),1222,"")</f>
        <v/>
      </c>
      <c r="B1228" s="4" t="str">
        <f>IF(A1228="","",IF('Loan Inputs'!$B$14=12,DATE(YEAR('Loan Inputs'!$B$8),MONTH('Loan Inputs'!$B$8)+A1228,DAY('Loan Inputs'!$B$8)),'Loan Inputs'!$B$8+A1228*IF('Loan Inputs'!$B$14=26,14,7)))</f>
        <v/>
      </c>
      <c r="C1228" s="2" t="str">
        <f t="shared" si="59"/>
        <v/>
      </c>
      <c r="D1228" s="2" t="str">
        <f>IF(A1228="","",MIN('Loan Inputs'!$B$17,C1228+E1228)+H1228)</f>
        <v/>
      </c>
      <c r="E1228" s="2" t="str">
        <f>IF(A1228="","",C1228*'Loan Inputs'!$B$15)</f>
        <v/>
      </c>
      <c r="F1228" s="2" t="str">
        <f t="shared" si="57"/>
        <v/>
      </c>
      <c r="G1228" s="2" t="str">
        <f t="shared" si="58"/>
        <v/>
      </c>
      <c r="H1228" s="2" t="str">
        <f>IF(A1228="","",MIN('Loan Inputs'!$B$18,MAX(0,C1228+E1228-'Loan Inputs'!$B$17)))</f>
        <v/>
      </c>
    </row>
    <row r="1229" spans="1:8" ht="22" customHeight="1">
      <c r="A1229" s="1" t="str">
        <f>IF(AND('Loan Inputs'!$B$12,1223&lt;=IF('Loan Inputs'!$B$12,'Loan Inputs'!$B$7,0)*'Loan Inputs'!$B$14+5*'Loan Inputs'!$B$14,ISNUMBER(G1228),G1228&gt;0),1223,"")</f>
        <v/>
      </c>
      <c r="B1229" s="4" t="str">
        <f>IF(A1229="","",IF('Loan Inputs'!$B$14=12,DATE(YEAR('Loan Inputs'!$B$8),MONTH('Loan Inputs'!$B$8)+A1229,DAY('Loan Inputs'!$B$8)),'Loan Inputs'!$B$8+A1229*IF('Loan Inputs'!$B$14=26,14,7)))</f>
        <v/>
      </c>
      <c r="C1229" s="2" t="str">
        <f t="shared" si="59"/>
        <v/>
      </c>
      <c r="D1229" s="2" t="str">
        <f>IF(A1229="","",MIN('Loan Inputs'!$B$17,C1229+E1229)+H1229)</f>
        <v/>
      </c>
      <c r="E1229" s="2" t="str">
        <f>IF(A1229="","",C1229*'Loan Inputs'!$B$15)</f>
        <v/>
      </c>
      <c r="F1229" s="2" t="str">
        <f t="shared" si="57"/>
        <v/>
      </c>
      <c r="G1229" s="2" t="str">
        <f t="shared" si="58"/>
        <v/>
      </c>
      <c r="H1229" s="2" t="str">
        <f>IF(A1229="","",MIN('Loan Inputs'!$B$18,MAX(0,C1229+E1229-'Loan Inputs'!$B$17)))</f>
        <v/>
      </c>
    </row>
    <row r="1230" spans="1:8" ht="22" customHeight="1">
      <c r="A1230" s="1" t="str">
        <f>IF(AND('Loan Inputs'!$B$12,1224&lt;=IF('Loan Inputs'!$B$12,'Loan Inputs'!$B$7,0)*'Loan Inputs'!$B$14+5*'Loan Inputs'!$B$14,ISNUMBER(G1229),G1229&gt;0),1224,"")</f>
        <v/>
      </c>
      <c r="B1230" s="4" t="str">
        <f>IF(A1230="","",IF('Loan Inputs'!$B$14=12,DATE(YEAR('Loan Inputs'!$B$8),MONTH('Loan Inputs'!$B$8)+A1230,DAY('Loan Inputs'!$B$8)),'Loan Inputs'!$B$8+A1230*IF('Loan Inputs'!$B$14=26,14,7)))</f>
        <v/>
      </c>
      <c r="C1230" s="2" t="str">
        <f t="shared" si="59"/>
        <v/>
      </c>
      <c r="D1230" s="2" t="str">
        <f>IF(A1230="","",MIN('Loan Inputs'!$B$17,C1230+E1230)+H1230)</f>
        <v/>
      </c>
      <c r="E1230" s="2" t="str">
        <f>IF(A1230="","",C1230*'Loan Inputs'!$B$15)</f>
        <v/>
      </c>
      <c r="F1230" s="2" t="str">
        <f t="shared" si="57"/>
        <v/>
      </c>
      <c r="G1230" s="2" t="str">
        <f t="shared" si="58"/>
        <v/>
      </c>
      <c r="H1230" s="2" t="str">
        <f>IF(A1230="","",MIN('Loan Inputs'!$B$18,MAX(0,C1230+E1230-'Loan Inputs'!$B$17)))</f>
        <v/>
      </c>
    </row>
    <row r="1231" spans="1:8" ht="22" customHeight="1">
      <c r="A1231" s="1" t="str">
        <f>IF(AND('Loan Inputs'!$B$12,1225&lt;=IF('Loan Inputs'!$B$12,'Loan Inputs'!$B$7,0)*'Loan Inputs'!$B$14+5*'Loan Inputs'!$B$14,ISNUMBER(G1230),G1230&gt;0),1225,"")</f>
        <v/>
      </c>
      <c r="B1231" s="4" t="str">
        <f>IF(A1231="","",IF('Loan Inputs'!$B$14=12,DATE(YEAR('Loan Inputs'!$B$8),MONTH('Loan Inputs'!$B$8)+A1231,DAY('Loan Inputs'!$B$8)),'Loan Inputs'!$B$8+A1231*IF('Loan Inputs'!$B$14=26,14,7)))</f>
        <v/>
      </c>
      <c r="C1231" s="2" t="str">
        <f t="shared" si="59"/>
        <v/>
      </c>
      <c r="D1231" s="2" t="str">
        <f>IF(A1231="","",MIN('Loan Inputs'!$B$17,C1231+E1231)+H1231)</f>
        <v/>
      </c>
      <c r="E1231" s="2" t="str">
        <f>IF(A1231="","",C1231*'Loan Inputs'!$B$15)</f>
        <v/>
      </c>
      <c r="F1231" s="2" t="str">
        <f t="shared" si="57"/>
        <v/>
      </c>
      <c r="G1231" s="2" t="str">
        <f t="shared" si="58"/>
        <v/>
      </c>
      <c r="H1231" s="2" t="str">
        <f>IF(A1231="","",MIN('Loan Inputs'!$B$18,MAX(0,C1231+E1231-'Loan Inputs'!$B$17)))</f>
        <v/>
      </c>
    </row>
    <row r="1232" spans="1:8" ht="22" customHeight="1">
      <c r="A1232" s="1" t="str">
        <f>IF(AND('Loan Inputs'!$B$12,1226&lt;=IF('Loan Inputs'!$B$12,'Loan Inputs'!$B$7,0)*'Loan Inputs'!$B$14+5*'Loan Inputs'!$B$14,ISNUMBER(G1231),G1231&gt;0),1226,"")</f>
        <v/>
      </c>
      <c r="B1232" s="4" t="str">
        <f>IF(A1232="","",IF('Loan Inputs'!$B$14=12,DATE(YEAR('Loan Inputs'!$B$8),MONTH('Loan Inputs'!$B$8)+A1232,DAY('Loan Inputs'!$B$8)),'Loan Inputs'!$B$8+A1232*IF('Loan Inputs'!$B$14=26,14,7)))</f>
        <v/>
      </c>
      <c r="C1232" s="2" t="str">
        <f t="shared" si="59"/>
        <v/>
      </c>
      <c r="D1232" s="2" t="str">
        <f>IF(A1232="","",MIN('Loan Inputs'!$B$17,C1232+E1232)+H1232)</f>
        <v/>
      </c>
      <c r="E1232" s="2" t="str">
        <f>IF(A1232="","",C1232*'Loan Inputs'!$B$15)</f>
        <v/>
      </c>
      <c r="F1232" s="2" t="str">
        <f t="shared" si="57"/>
        <v/>
      </c>
      <c r="G1232" s="2" t="str">
        <f t="shared" si="58"/>
        <v/>
      </c>
      <c r="H1232" s="2" t="str">
        <f>IF(A1232="","",MIN('Loan Inputs'!$B$18,MAX(0,C1232+E1232-'Loan Inputs'!$B$17)))</f>
        <v/>
      </c>
    </row>
    <row r="1233" spans="1:8" ht="22" customHeight="1">
      <c r="A1233" s="1" t="str">
        <f>IF(AND('Loan Inputs'!$B$12,1227&lt;=IF('Loan Inputs'!$B$12,'Loan Inputs'!$B$7,0)*'Loan Inputs'!$B$14+5*'Loan Inputs'!$B$14,ISNUMBER(G1232),G1232&gt;0),1227,"")</f>
        <v/>
      </c>
      <c r="B1233" s="4" t="str">
        <f>IF(A1233="","",IF('Loan Inputs'!$B$14=12,DATE(YEAR('Loan Inputs'!$B$8),MONTH('Loan Inputs'!$B$8)+A1233,DAY('Loan Inputs'!$B$8)),'Loan Inputs'!$B$8+A1233*IF('Loan Inputs'!$B$14=26,14,7)))</f>
        <v/>
      </c>
      <c r="C1233" s="2" t="str">
        <f t="shared" si="59"/>
        <v/>
      </c>
      <c r="D1233" s="2" t="str">
        <f>IF(A1233="","",MIN('Loan Inputs'!$B$17,C1233+E1233)+H1233)</f>
        <v/>
      </c>
      <c r="E1233" s="2" t="str">
        <f>IF(A1233="","",C1233*'Loan Inputs'!$B$15)</f>
        <v/>
      </c>
      <c r="F1233" s="2" t="str">
        <f t="shared" si="57"/>
        <v/>
      </c>
      <c r="G1233" s="2" t="str">
        <f t="shared" si="58"/>
        <v/>
      </c>
      <c r="H1233" s="2" t="str">
        <f>IF(A1233="","",MIN('Loan Inputs'!$B$18,MAX(0,C1233+E1233-'Loan Inputs'!$B$17)))</f>
        <v/>
      </c>
    </row>
    <row r="1234" spans="1:8" ht="22" customHeight="1">
      <c r="A1234" s="1" t="str">
        <f>IF(AND('Loan Inputs'!$B$12,1228&lt;=IF('Loan Inputs'!$B$12,'Loan Inputs'!$B$7,0)*'Loan Inputs'!$B$14+5*'Loan Inputs'!$B$14,ISNUMBER(G1233),G1233&gt;0),1228,"")</f>
        <v/>
      </c>
      <c r="B1234" s="4" t="str">
        <f>IF(A1234="","",IF('Loan Inputs'!$B$14=12,DATE(YEAR('Loan Inputs'!$B$8),MONTH('Loan Inputs'!$B$8)+A1234,DAY('Loan Inputs'!$B$8)),'Loan Inputs'!$B$8+A1234*IF('Loan Inputs'!$B$14=26,14,7)))</f>
        <v/>
      </c>
      <c r="C1234" s="2" t="str">
        <f t="shared" si="59"/>
        <v/>
      </c>
      <c r="D1234" s="2" t="str">
        <f>IF(A1234="","",MIN('Loan Inputs'!$B$17,C1234+E1234)+H1234)</f>
        <v/>
      </c>
      <c r="E1234" s="2" t="str">
        <f>IF(A1234="","",C1234*'Loan Inputs'!$B$15)</f>
        <v/>
      </c>
      <c r="F1234" s="2" t="str">
        <f t="shared" si="57"/>
        <v/>
      </c>
      <c r="G1234" s="2" t="str">
        <f t="shared" si="58"/>
        <v/>
      </c>
      <c r="H1234" s="2" t="str">
        <f>IF(A1234="","",MIN('Loan Inputs'!$B$18,MAX(0,C1234+E1234-'Loan Inputs'!$B$17)))</f>
        <v/>
      </c>
    </row>
    <row r="1235" spans="1:8" ht="22" customHeight="1">
      <c r="A1235" s="1" t="str">
        <f>IF(AND('Loan Inputs'!$B$12,1229&lt;=IF('Loan Inputs'!$B$12,'Loan Inputs'!$B$7,0)*'Loan Inputs'!$B$14+5*'Loan Inputs'!$B$14,ISNUMBER(G1234),G1234&gt;0),1229,"")</f>
        <v/>
      </c>
      <c r="B1235" s="4" t="str">
        <f>IF(A1235="","",IF('Loan Inputs'!$B$14=12,DATE(YEAR('Loan Inputs'!$B$8),MONTH('Loan Inputs'!$B$8)+A1235,DAY('Loan Inputs'!$B$8)),'Loan Inputs'!$B$8+A1235*IF('Loan Inputs'!$B$14=26,14,7)))</f>
        <v/>
      </c>
      <c r="C1235" s="2" t="str">
        <f t="shared" si="59"/>
        <v/>
      </c>
      <c r="D1235" s="2" t="str">
        <f>IF(A1235="","",MIN('Loan Inputs'!$B$17,C1235+E1235)+H1235)</f>
        <v/>
      </c>
      <c r="E1235" s="2" t="str">
        <f>IF(A1235="","",C1235*'Loan Inputs'!$B$15)</f>
        <v/>
      </c>
      <c r="F1235" s="2" t="str">
        <f t="shared" si="57"/>
        <v/>
      </c>
      <c r="G1235" s="2" t="str">
        <f t="shared" si="58"/>
        <v/>
      </c>
      <c r="H1235" s="2" t="str">
        <f>IF(A1235="","",MIN('Loan Inputs'!$B$18,MAX(0,C1235+E1235-'Loan Inputs'!$B$17)))</f>
        <v/>
      </c>
    </row>
    <row r="1236" spans="1:8" ht="22" customHeight="1">
      <c r="A1236" s="1" t="str">
        <f>IF(AND('Loan Inputs'!$B$12,1230&lt;=IF('Loan Inputs'!$B$12,'Loan Inputs'!$B$7,0)*'Loan Inputs'!$B$14+5*'Loan Inputs'!$B$14,ISNUMBER(G1235),G1235&gt;0),1230,"")</f>
        <v/>
      </c>
      <c r="B1236" s="4" t="str">
        <f>IF(A1236="","",IF('Loan Inputs'!$B$14=12,DATE(YEAR('Loan Inputs'!$B$8),MONTH('Loan Inputs'!$B$8)+A1236,DAY('Loan Inputs'!$B$8)),'Loan Inputs'!$B$8+A1236*IF('Loan Inputs'!$B$14=26,14,7)))</f>
        <v/>
      </c>
      <c r="C1236" s="2" t="str">
        <f t="shared" si="59"/>
        <v/>
      </c>
      <c r="D1236" s="2" t="str">
        <f>IF(A1236="","",MIN('Loan Inputs'!$B$17,C1236+E1236)+H1236)</f>
        <v/>
      </c>
      <c r="E1236" s="2" t="str">
        <f>IF(A1236="","",C1236*'Loan Inputs'!$B$15)</f>
        <v/>
      </c>
      <c r="F1236" s="2" t="str">
        <f t="shared" si="57"/>
        <v/>
      </c>
      <c r="G1236" s="2" t="str">
        <f t="shared" si="58"/>
        <v/>
      </c>
      <c r="H1236" s="2" t="str">
        <f>IF(A1236="","",MIN('Loan Inputs'!$B$18,MAX(0,C1236+E1236-'Loan Inputs'!$B$17)))</f>
        <v/>
      </c>
    </row>
    <row r="1237" spans="1:8" ht="22" customHeight="1">
      <c r="A1237" s="1" t="str">
        <f>IF(AND('Loan Inputs'!$B$12,1231&lt;=IF('Loan Inputs'!$B$12,'Loan Inputs'!$B$7,0)*'Loan Inputs'!$B$14+5*'Loan Inputs'!$B$14,ISNUMBER(G1236),G1236&gt;0),1231,"")</f>
        <v/>
      </c>
      <c r="B1237" s="4" t="str">
        <f>IF(A1237="","",IF('Loan Inputs'!$B$14=12,DATE(YEAR('Loan Inputs'!$B$8),MONTH('Loan Inputs'!$B$8)+A1237,DAY('Loan Inputs'!$B$8)),'Loan Inputs'!$B$8+A1237*IF('Loan Inputs'!$B$14=26,14,7)))</f>
        <v/>
      </c>
      <c r="C1237" s="2" t="str">
        <f t="shared" si="59"/>
        <v/>
      </c>
      <c r="D1237" s="2" t="str">
        <f>IF(A1237="","",MIN('Loan Inputs'!$B$17,C1237+E1237)+H1237)</f>
        <v/>
      </c>
      <c r="E1237" s="2" t="str">
        <f>IF(A1237="","",C1237*'Loan Inputs'!$B$15)</f>
        <v/>
      </c>
      <c r="F1237" s="2" t="str">
        <f t="shared" si="57"/>
        <v/>
      </c>
      <c r="G1237" s="2" t="str">
        <f t="shared" si="58"/>
        <v/>
      </c>
      <c r="H1237" s="2" t="str">
        <f>IF(A1237="","",MIN('Loan Inputs'!$B$18,MAX(0,C1237+E1237-'Loan Inputs'!$B$17)))</f>
        <v/>
      </c>
    </row>
    <row r="1238" spans="1:8" ht="22" customHeight="1">
      <c r="A1238" s="1" t="str">
        <f>IF(AND('Loan Inputs'!$B$12,1232&lt;=IF('Loan Inputs'!$B$12,'Loan Inputs'!$B$7,0)*'Loan Inputs'!$B$14+5*'Loan Inputs'!$B$14,ISNUMBER(G1237),G1237&gt;0),1232,"")</f>
        <v/>
      </c>
      <c r="B1238" s="4" t="str">
        <f>IF(A1238="","",IF('Loan Inputs'!$B$14=12,DATE(YEAR('Loan Inputs'!$B$8),MONTH('Loan Inputs'!$B$8)+A1238,DAY('Loan Inputs'!$B$8)),'Loan Inputs'!$B$8+A1238*IF('Loan Inputs'!$B$14=26,14,7)))</f>
        <v/>
      </c>
      <c r="C1238" s="2" t="str">
        <f t="shared" si="59"/>
        <v/>
      </c>
      <c r="D1238" s="2" t="str">
        <f>IF(A1238="","",MIN('Loan Inputs'!$B$17,C1238+E1238)+H1238)</f>
        <v/>
      </c>
      <c r="E1238" s="2" t="str">
        <f>IF(A1238="","",C1238*'Loan Inputs'!$B$15)</f>
        <v/>
      </c>
      <c r="F1238" s="2" t="str">
        <f t="shared" si="57"/>
        <v/>
      </c>
      <c r="G1238" s="2" t="str">
        <f t="shared" si="58"/>
        <v/>
      </c>
      <c r="H1238" s="2" t="str">
        <f>IF(A1238="","",MIN('Loan Inputs'!$B$18,MAX(0,C1238+E1238-'Loan Inputs'!$B$17)))</f>
        <v/>
      </c>
    </row>
    <row r="1239" spans="1:8" ht="22" customHeight="1">
      <c r="A1239" s="1" t="str">
        <f>IF(AND('Loan Inputs'!$B$12,1233&lt;=IF('Loan Inputs'!$B$12,'Loan Inputs'!$B$7,0)*'Loan Inputs'!$B$14+5*'Loan Inputs'!$B$14,ISNUMBER(G1238),G1238&gt;0),1233,"")</f>
        <v/>
      </c>
      <c r="B1239" s="4" t="str">
        <f>IF(A1239="","",IF('Loan Inputs'!$B$14=12,DATE(YEAR('Loan Inputs'!$B$8),MONTH('Loan Inputs'!$B$8)+A1239,DAY('Loan Inputs'!$B$8)),'Loan Inputs'!$B$8+A1239*IF('Loan Inputs'!$B$14=26,14,7)))</f>
        <v/>
      </c>
      <c r="C1239" s="2" t="str">
        <f t="shared" si="59"/>
        <v/>
      </c>
      <c r="D1239" s="2" t="str">
        <f>IF(A1239="","",MIN('Loan Inputs'!$B$17,C1239+E1239)+H1239)</f>
        <v/>
      </c>
      <c r="E1239" s="2" t="str">
        <f>IF(A1239="","",C1239*'Loan Inputs'!$B$15)</f>
        <v/>
      </c>
      <c r="F1239" s="2" t="str">
        <f t="shared" si="57"/>
        <v/>
      </c>
      <c r="G1239" s="2" t="str">
        <f t="shared" si="58"/>
        <v/>
      </c>
      <c r="H1239" s="2" t="str">
        <f>IF(A1239="","",MIN('Loan Inputs'!$B$18,MAX(0,C1239+E1239-'Loan Inputs'!$B$17)))</f>
        <v/>
      </c>
    </row>
    <row r="1240" spans="1:8" ht="22" customHeight="1">
      <c r="A1240" s="1" t="str">
        <f>IF(AND('Loan Inputs'!$B$12,1234&lt;=IF('Loan Inputs'!$B$12,'Loan Inputs'!$B$7,0)*'Loan Inputs'!$B$14+5*'Loan Inputs'!$B$14,ISNUMBER(G1239),G1239&gt;0),1234,"")</f>
        <v/>
      </c>
      <c r="B1240" s="4" t="str">
        <f>IF(A1240="","",IF('Loan Inputs'!$B$14=12,DATE(YEAR('Loan Inputs'!$B$8),MONTH('Loan Inputs'!$B$8)+A1240,DAY('Loan Inputs'!$B$8)),'Loan Inputs'!$B$8+A1240*IF('Loan Inputs'!$B$14=26,14,7)))</f>
        <v/>
      </c>
      <c r="C1240" s="2" t="str">
        <f t="shared" si="59"/>
        <v/>
      </c>
      <c r="D1240" s="2" t="str">
        <f>IF(A1240="","",MIN('Loan Inputs'!$B$17,C1240+E1240)+H1240)</f>
        <v/>
      </c>
      <c r="E1240" s="2" t="str">
        <f>IF(A1240="","",C1240*'Loan Inputs'!$B$15)</f>
        <v/>
      </c>
      <c r="F1240" s="2" t="str">
        <f t="shared" si="57"/>
        <v/>
      </c>
      <c r="G1240" s="2" t="str">
        <f t="shared" si="58"/>
        <v/>
      </c>
      <c r="H1240" s="2" t="str">
        <f>IF(A1240="","",MIN('Loan Inputs'!$B$18,MAX(0,C1240+E1240-'Loan Inputs'!$B$17)))</f>
        <v/>
      </c>
    </row>
    <row r="1241" spans="1:8" ht="22" customHeight="1">
      <c r="A1241" s="1" t="str">
        <f>IF(AND('Loan Inputs'!$B$12,1235&lt;=IF('Loan Inputs'!$B$12,'Loan Inputs'!$B$7,0)*'Loan Inputs'!$B$14+5*'Loan Inputs'!$B$14,ISNUMBER(G1240),G1240&gt;0),1235,"")</f>
        <v/>
      </c>
      <c r="B1241" s="4" t="str">
        <f>IF(A1241="","",IF('Loan Inputs'!$B$14=12,DATE(YEAR('Loan Inputs'!$B$8),MONTH('Loan Inputs'!$B$8)+A1241,DAY('Loan Inputs'!$B$8)),'Loan Inputs'!$B$8+A1241*IF('Loan Inputs'!$B$14=26,14,7)))</f>
        <v/>
      </c>
      <c r="C1241" s="2" t="str">
        <f t="shared" si="59"/>
        <v/>
      </c>
      <c r="D1241" s="2" t="str">
        <f>IF(A1241="","",MIN('Loan Inputs'!$B$17,C1241+E1241)+H1241)</f>
        <v/>
      </c>
      <c r="E1241" s="2" t="str">
        <f>IF(A1241="","",C1241*'Loan Inputs'!$B$15)</f>
        <v/>
      </c>
      <c r="F1241" s="2" t="str">
        <f t="shared" si="57"/>
        <v/>
      </c>
      <c r="G1241" s="2" t="str">
        <f t="shared" si="58"/>
        <v/>
      </c>
      <c r="H1241" s="2" t="str">
        <f>IF(A1241="","",MIN('Loan Inputs'!$B$18,MAX(0,C1241+E1241-'Loan Inputs'!$B$17)))</f>
        <v/>
      </c>
    </row>
    <row r="1242" spans="1:8" ht="22" customHeight="1">
      <c r="A1242" s="1" t="str">
        <f>IF(AND('Loan Inputs'!$B$12,1236&lt;=IF('Loan Inputs'!$B$12,'Loan Inputs'!$B$7,0)*'Loan Inputs'!$B$14+5*'Loan Inputs'!$B$14,ISNUMBER(G1241),G1241&gt;0),1236,"")</f>
        <v/>
      </c>
      <c r="B1242" s="4" t="str">
        <f>IF(A1242="","",IF('Loan Inputs'!$B$14=12,DATE(YEAR('Loan Inputs'!$B$8),MONTH('Loan Inputs'!$B$8)+A1242,DAY('Loan Inputs'!$B$8)),'Loan Inputs'!$B$8+A1242*IF('Loan Inputs'!$B$14=26,14,7)))</f>
        <v/>
      </c>
      <c r="C1242" s="2" t="str">
        <f t="shared" si="59"/>
        <v/>
      </c>
      <c r="D1242" s="2" t="str">
        <f>IF(A1242="","",MIN('Loan Inputs'!$B$17,C1242+E1242)+H1242)</f>
        <v/>
      </c>
      <c r="E1242" s="2" t="str">
        <f>IF(A1242="","",C1242*'Loan Inputs'!$B$15)</f>
        <v/>
      </c>
      <c r="F1242" s="2" t="str">
        <f t="shared" si="57"/>
        <v/>
      </c>
      <c r="G1242" s="2" t="str">
        <f t="shared" si="58"/>
        <v/>
      </c>
      <c r="H1242" s="2" t="str">
        <f>IF(A1242="","",MIN('Loan Inputs'!$B$18,MAX(0,C1242+E1242-'Loan Inputs'!$B$17)))</f>
        <v/>
      </c>
    </row>
    <row r="1243" spans="1:8" ht="22" customHeight="1">
      <c r="A1243" s="1" t="str">
        <f>IF(AND('Loan Inputs'!$B$12,1237&lt;=IF('Loan Inputs'!$B$12,'Loan Inputs'!$B$7,0)*'Loan Inputs'!$B$14+5*'Loan Inputs'!$B$14,ISNUMBER(G1242),G1242&gt;0),1237,"")</f>
        <v/>
      </c>
      <c r="B1243" s="4" t="str">
        <f>IF(A1243="","",IF('Loan Inputs'!$B$14=12,DATE(YEAR('Loan Inputs'!$B$8),MONTH('Loan Inputs'!$B$8)+A1243,DAY('Loan Inputs'!$B$8)),'Loan Inputs'!$B$8+A1243*IF('Loan Inputs'!$B$14=26,14,7)))</f>
        <v/>
      </c>
      <c r="C1243" s="2" t="str">
        <f t="shared" si="59"/>
        <v/>
      </c>
      <c r="D1243" s="2" t="str">
        <f>IF(A1243="","",MIN('Loan Inputs'!$B$17,C1243+E1243)+H1243)</f>
        <v/>
      </c>
      <c r="E1243" s="2" t="str">
        <f>IF(A1243="","",C1243*'Loan Inputs'!$B$15)</f>
        <v/>
      </c>
      <c r="F1243" s="2" t="str">
        <f t="shared" si="57"/>
        <v/>
      </c>
      <c r="G1243" s="2" t="str">
        <f t="shared" si="58"/>
        <v/>
      </c>
      <c r="H1243" s="2" t="str">
        <f>IF(A1243="","",MIN('Loan Inputs'!$B$18,MAX(0,C1243+E1243-'Loan Inputs'!$B$17)))</f>
        <v/>
      </c>
    </row>
    <row r="1244" spans="1:8" ht="22" customHeight="1">
      <c r="A1244" s="1" t="str">
        <f>IF(AND('Loan Inputs'!$B$12,1238&lt;=IF('Loan Inputs'!$B$12,'Loan Inputs'!$B$7,0)*'Loan Inputs'!$B$14+5*'Loan Inputs'!$B$14,ISNUMBER(G1243),G1243&gt;0),1238,"")</f>
        <v/>
      </c>
      <c r="B1244" s="4" t="str">
        <f>IF(A1244="","",IF('Loan Inputs'!$B$14=12,DATE(YEAR('Loan Inputs'!$B$8),MONTH('Loan Inputs'!$B$8)+A1244,DAY('Loan Inputs'!$B$8)),'Loan Inputs'!$B$8+A1244*IF('Loan Inputs'!$B$14=26,14,7)))</f>
        <v/>
      </c>
      <c r="C1244" s="2" t="str">
        <f t="shared" si="59"/>
        <v/>
      </c>
      <c r="D1244" s="2" t="str">
        <f>IF(A1244="","",MIN('Loan Inputs'!$B$17,C1244+E1244)+H1244)</f>
        <v/>
      </c>
      <c r="E1244" s="2" t="str">
        <f>IF(A1244="","",C1244*'Loan Inputs'!$B$15)</f>
        <v/>
      </c>
      <c r="F1244" s="2" t="str">
        <f t="shared" si="57"/>
        <v/>
      </c>
      <c r="G1244" s="2" t="str">
        <f t="shared" si="58"/>
        <v/>
      </c>
      <c r="H1244" s="2" t="str">
        <f>IF(A1244="","",MIN('Loan Inputs'!$B$18,MAX(0,C1244+E1244-'Loan Inputs'!$B$17)))</f>
        <v/>
      </c>
    </row>
    <row r="1245" spans="1:8" ht="22" customHeight="1">
      <c r="A1245" s="1" t="str">
        <f>IF(AND('Loan Inputs'!$B$12,1239&lt;=IF('Loan Inputs'!$B$12,'Loan Inputs'!$B$7,0)*'Loan Inputs'!$B$14+5*'Loan Inputs'!$B$14,ISNUMBER(G1244),G1244&gt;0),1239,"")</f>
        <v/>
      </c>
      <c r="B1245" s="4" t="str">
        <f>IF(A1245="","",IF('Loan Inputs'!$B$14=12,DATE(YEAR('Loan Inputs'!$B$8),MONTH('Loan Inputs'!$B$8)+A1245,DAY('Loan Inputs'!$B$8)),'Loan Inputs'!$B$8+A1245*IF('Loan Inputs'!$B$14=26,14,7)))</f>
        <v/>
      </c>
      <c r="C1245" s="2" t="str">
        <f t="shared" si="59"/>
        <v/>
      </c>
      <c r="D1245" s="2" t="str">
        <f>IF(A1245="","",MIN('Loan Inputs'!$B$17,C1245+E1245)+H1245)</f>
        <v/>
      </c>
      <c r="E1245" s="2" t="str">
        <f>IF(A1245="","",C1245*'Loan Inputs'!$B$15)</f>
        <v/>
      </c>
      <c r="F1245" s="2" t="str">
        <f t="shared" si="57"/>
        <v/>
      </c>
      <c r="G1245" s="2" t="str">
        <f t="shared" si="58"/>
        <v/>
      </c>
      <c r="H1245" s="2" t="str">
        <f>IF(A1245="","",MIN('Loan Inputs'!$B$18,MAX(0,C1245+E1245-'Loan Inputs'!$B$17)))</f>
        <v/>
      </c>
    </row>
    <row r="1246" spans="1:8" ht="22" customHeight="1">
      <c r="A1246" s="1" t="str">
        <f>IF(AND('Loan Inputs'!$B$12,1240&lt;=IF('Loan Inputs'!$B$12,'Loan Inputs'!$B$7,0)*'Loan Inputs'!$B$14+5*'Loan Inputs'!$B$14,ISNUMBER(G1245),G1245&gt;0),1240,"")</f>
        <v/>
      </c>
      <c r="B1246" s="4" t="str">
        <f>IF(A1246="","",IF('Loan Inputs'!$B$14=12,DATE(YEAR('Loan Inputs'!$B$8),MONTH('Loan Inputs'!$B$8)+A1246,DAY('Loan Inputs'!$B$8)),'Loan Inputs'!$B$8+A1246*IF('Loan Inputs'!$B$14=26,14,7)))</f>
        <v/>
      </c>
      <c r="C1246" s="2" t="str">
        <f t="shared" si="59"/>
        <v/>
      </c>
      <c r="D1246" s="2" t="str">
        <f>IF(A1246="","",MIN('Loan Inputs'!$B$17,C1246+E1246)+H1246)</f>
        <v/>
      </c>
      <c r="E1246" s="2" t="str">
        <f>IF(A1246="","",C1246*'Loan Inputs'!$B$15)</f>
        <v/>
      </c>
      <c r="F1246" s="2" t="str">
        <f t="shared" si="57"/>
        <v/>
      </c>
      <c r="G1246" s="2" t="str">
        <f t="shared" si="58"/>
        <v/>
      </c>
      <c r="H1246" s="2" t="str">
        <f>IF(A1246="","",MIN('Loan Inputs'!$B$18,MAX(0,C1246+E1246-'Loan Inputs'!$B$17)))</f>
        <v/>
      </c>
    </row>
    <row r="1247" spans="1:8" ht="22" customHeight="1">
      <c r="A1247" s="1" t="str">
        <f>IF(AND('Loan Inputs'!$B$12,1241&lt;=IF('Loan Inputs'!$B$12,'Loan Inputs'!$B$7,0)*'Loan Inputs'!$B$14+5*'Loan Inputs'!$B$14,ISNUMBER(G1246),G1246&gt;0),1241,"")</f>
        <v/>
      </c>
      <c r="B1247" s="4" t="str">
        <f>IF(A1247="","",IF('Loan Inputs'!$B$14=12,DATE(YEAR('Loan Inputs'!$B$8),MONTH('Loan Inputs'!$B$8)+A1247,DAY('Loan Inputs'!$B$8)),'Loan Inputs'!$B$8+A1247*IF('Loan Inputs'!$B$14=26,14,7)))</f>
        <v/>
      </c>
      <c r="C1247" s="2" t="str">
        <f t="shared" si="59"/>
        <v/>
      </c>
      <c r="D1247" s="2" t="str">
        <f>IF(A1247="","",MIN('Loan Inputs'!$B$17,C1247+E1247)+H1247)</f>
        <v/>
      </c>
      <c r="E1247" s="2" t="str">
        <f>IF(A1247="","",C1247*'Loan Inputs'!$B$15)</f>
        <v/>
      </c>
      <c r="F1247" s="2" t="str">
        <f t="shared" si="57"/>
        <v/>
      </c>
      <c r="G1247" s="2" t="str">
        <f t="shared" si="58"/>
        <v/>
      </c>
      <c r="H1247" s="2" t="str">
        <f>IF(A1247="","",MIN('Loan Inputs'!$B$18,MAX(0,C1247+E1247-'Loan Inputs'!$B$17)))</f>
        <v/>
      </c>
    </row>
    <row r="1248" spans="1:8" ht="22" customHeight="1">
      <c r="A1248" s="1" t="str">
        <f>IF(AND('Loan Inputs'!$B$12,1242&lt;=IF('Loan Inputs'!$B$12,'Loan Inputs'!$B$7,0)*'Loan Inputs'!$B$14+5*'Loan Inputs'!$B$14,ISNUMBER(G1247),G1247&gt;0),1242,"")</f>
        <v/>
      </c>
      <c r="B1248" s="4" t="str">
        <f>IF(A1248="","",IF('Loan Inputs'!$B$14=12,DATE(YEAR('Loan Inputs'!$B$8),MONTH('Loan Inputs'!$B$8)+A1248,DAY('Loan Inputs'!$B$8)),'Loan Inputs'!$B$8+A1248*IF('Loan Inputs'!$B$14=26,14,7)))</f>
        <v/>
      </c>
      <c r="C1248" s="2" t="str">
        <f t="shared" si="59"/>
        <v/>
      </c>
      <c r="D1248" s="2" t="str">
        <f>IF(A1248="","",MIN('Loan Inputs'!$B$17,C1248+E1248)+H1248)</f>
        <v/>
      </c>
      <c r="E1248" s="2" t="str">
        <f>IF(A1248="","",C1248*'Loan Inputs'!$B$15)</f>
        <v/>
      </c>
      <c r="F1248" s="2" t="str">
        <f t="shared" si="57"/>
        <v/>
      </c>
      <c r="G1248" s="2" t="str">
        <f t="shared" si="58"/>
        <v/>
      </c>
      <c r="H1248" s="2" t="str">
        <f>IF(A1248="","",MIN('Loan Inputs'!$B$18,MAX(0,C1248+E1248-'Loan Inputs'!$B$17)))</f>
        <v/>
      </c>
    </row>
    <row r="1249" spans="1:8" ht="22" customHeight="1">
      <c r="A1249" s="1" t="str">
        <f>IF(AND('Loan Inputs'!$B$12,1243&lt;=IF('Loan Inputs'!$B$12,'Loan Inputs'!$B$7,0)*'Loan Inputs'!$B$14+5*'Loan Inputs'!$B$14,ISNUMBER(G1248),G1248&gt;0),1243,"")</f>
        <v/>
      </c>
      <c r="B1249" s="4" t="str">
        <f>IF(A1249="","",IF('Loan Inputs'!$B$14=12,DATE(YEAR('Loan Inputs'!$B$8),MONTH('Loan Inputs'!$B$8)+A1249,DAY('Loan Inputs'!$B$8)),'Loan Inputs'!$B$8+A1249*IF('Loan Inputs'!$B$14=26,14,7)))</f>
        <v/>
      </c>
      <c r="C1249" s="2" t="str">
        <f t="shared" si="59"/>
        <v/>
      </c>
      <c r="D1249" s="2" t="str">
        <f>IF(A1249="","",MIN('Loan Inputs'!$B$17,C1249+E1249)+H1249)</f>
        <v/>
      </c>
      <c r="E1249" s="2" t="str">
        <f>IF(A1249="","",C1249*'Loan Inputs'!$B$15)</f>
        <v/>
      </c>
      <c r="F1249" s="2" t="str">
        <f t="shared" si="57"/>
        <v/>
      </c>
      <c r="G1249" s="2" t="str">
        <f t="shared" si="58"/>
        <v/>
      </c>
      <c r="H1249" s="2" t="str">
        <f>IF(A1249="","",MIN('Loan Inputs'!$B$18,MAX(0,C1249+E1249-'Loan Inputs'!$B$17)))</f>
        <v/>
      </c>
    </row>
    <row r="1250" spans="1:8" ht="22" customHeight="1">
      <c r="A1250" s="1" t="str">
        <f>IF(AND('Loan Inputs'!$B$12,1244&lt;=IF('Loan Inputs'!$B$12,'Loan Inputs'!$B$7,0)*'Loan Inputs'!$B$14+5*'Loan Inputs'!$B$14,ISNUMBER(G1249),G1249&gt;0),1244,"")</f>
        <v/>
      </c>
      <c r="B1250" s="4" t="str">
        <f>IF(A1250="","",IF('Loan Inputs'!$B$14=12,DATE(YEAR('Loan Inputs'!$B$8),MONTH('Loan Inputs'!$B$8)+A1250,DAY('Loan Inputs'!$B$8)),'Loan Inputs'!$B$8+A1250*IF('Loan Inputs'!$B$14=26,14,7)))</f>
        <v/>
      </c>
      <c r="C1250" s="2" t="str">
        <f t="shared" si="59"/>
        <v/>
      </c>
      <c r="D1250" s="2" t="str">
        <f>IF(A1250="","",MIN('Loan Inputs'!$B$17,C1250+E1250)+H1250)</f>
        <v/>
      </c>
      <c r="E1250" s="2" t="str">
        <f>IF(A1250="","",C1250*'Loan Inputs'!$B$15)</f>
        <v/>
      </c>
      <c r="F1250" s="2" t="str">
        <f t="shared" si="57"/>
        <v/>
      </c>
      <c r="G1250" s="2" t="str">
        <f t="shared" si="58"/>
        <v/>
      </c>
      <c r="H1250" s="2" t="str">
        <f>IF(A1250="","",MIN('Loan Inputs'!$B$18,MAX(0,C1250+E1250-'Loan Inputs'!$B$17)))</f>
        <v/>
      </c>
    </row>
    <row r="1251" spans="1:8" ht="22" customHeight="1">
      <c r="A1251" s="1" t="str">
        <f>IF(AND('Loan Inputs'!$B$12,1245&lt;=IF('Loan Inputs'!$B$12,'Loan Inputs'!$B$7,0)*'Loan Inputs'!$B$14+5*'Loan Inputs'!$B$14,ISNUMBER(G1250),G1250&gt;0),1245,"")</f>
        <v/>
      </c>
      <c r="B1251" s="4" t="str">
        <f>IF(A1251="","",IF('Loan Inputs'!$B$14=12,DATE(YEAR('Loan Inputs'!$B$8),MONTH('Loan Inputs'!$B$8)+A1251,DAY('Loan Inputs'!$B$8)),'Loan Inputs'!$B$8+A1251*IF('Loan Inputs'!$B$14=26,14,7)))</f>
        <v/>
      </c>
      <c r="C1251" s="2" t="str">
        <f t="shared" si="59"/>
        <v/>
      </c>
      <c r="D1251" s="2" t="str">
        <f>IF(A1251="","",MIN('Loan Inputs'!$B$17,C1251+E1251)+H1251)</f>
        <v/>
      </c>
      <c r="E1251" s="2" t="str">
        <f>IF(A1251="","",C1251*'Loan Inputs'!$B$15)</f>
        <v/>
      </c>
      <c r="F1251" s="2" t="str">
        <f t="shared" si="57"/>
        <v/>
      </c>
      <c r="G1251" s="2" t="str">
        <f t="shared" si="58"/>
        <v/>
      </c>
      <c r="H1251" s="2" t="str">
        <f>IF(A1251="","",MIN('Loan Inputs'!$B$18,MAX(0,C1251+E1251-'Loan Inputs'!$B$17)))</f>
        <v/>
      </c>
    </row>
    <row r="1252" spans="1:8" ht="22" customHeight="1">
      <c r="A1252" s="1" t="str">
        <f>IF(AND('Loan Inputs'!$B$12,1246&lt;=IF('Loan Inputs'!$B$12,'Loan Inputs'!$B$7,0)*'Loan Inputs'!$B$14+5*'Loan Inputs'!$B$14,ISNUMBER(G1251),G1251&gt;0),1246,"")</f>
        <v/>
      </c>
      <c r="B1252" s="4" t="str">
        <f>IF(A1252="","",IF('Loan Inputs'!$B$14=12,DATE(YEAR('Loan Inputs'!$B$8),MONTH('Loan Inputs'!$B$8)+A1252,DAY('Loan Inputs'!$B$8)),'Loan Inputs'!$B$8+A1252*IF('Loan Inputs'!$B$14=26,14,7)))</f>
        <v/>
      </c>
      <c r="C1252" s="2" t="str">
        <f t="shared" si="59"/>
        <v/>
      </c>
      <c r="D1252" s="2" t="str">
        <f>IF(A1252="","",MIN('Loan Inputs'!$B$17,C1252+E1252)+H1252)</f>
        <v/>
      </c>
      <c r="E1252" s="2" t="str">
        <f>IF(A1252="","",C1252*'Loan Inputs'!$B$15)</f>
        <v/>
      </c>
      <c r="F1252" s="2" t="str">
        <f t="shared" si="57"/>
        <v/>
      </c>
      <c r="G1252" s="2" t="str">
        <f t="shared" si="58"/>
        <v/>
      </c>
      <c r="H1252" s="2" t="str">
        <f>IF(A1252="","",MIN('Loan Inputs'!$B$18,MAX(0,C1252+E1252-'Loan Inputs'!$B$17)))</f>
        <v/>
      </c>
    </row>
    <row r="1253" spans="1:8" ht="22" customHeight="1">
      <c r="A1253" s="1" t="str">
        <f>IF(AND('Loan Inputs'!$B$12,1247&lt;=IF('Loan Inputs'!$B$12,'Loan Inputs'!$B$7,0)*'Loan Inputs'!$B$14+5*'Loan Inputs'!$B$14,ISNUMBER(G1252),G1252&gt;0),1247,"")</f>
        <v/>
      </c>
      <c r="B1253" s="4" t="str">
        <f>IF(A1253="","",IF('Loan Inputs'!$B$14=12,DATE(YEAR('Loan Inputs'!$B$8),MONTH('Loan Inputs'!$B$8)+A1253,DAY('Loan Inputs'!$B$8)),'Loan Inputs'!$B$8+A1253*IF('Loan Inputs'!$B$14=26,14,7)))</f>
        <v/>
      </c>
      <c r="C1253" s="2" t="str">
        <f t="shared" si="59"/>
        <v/>
      </c>
      <c r="D1253" s="2" t="str">
        <f>IF(A1253="","",MIN('Loan Inputs'!$B$17,C1253+E1253)+H1253)</f>
        <v/>
      </c>
      <c r="E1253" s="2" t="str">
        <f>IF(A1253="","",C1253*'Loan Inputs'!$B$15)</f>
        <v/>
      </c>
      <c r="F1253" s="2" t="str">
        <f t="shared" si="57"/>
        <v/>
      </c>
      <c r="G1253" s="2" t="str">
        <f t="shared" si="58"/>
        <v/>
      </c>
      <c r="H1253" s="2" t="str">
        <f>IF(A1253="","",MIN('Loan Inputs'!$B$18,MAX(0,C1253+E1253-'Loan Inputs'!$B$17)))</f>
        <v/>
      </c>
    </row>
    <row r="1254" spans="1:8" ht="22" customHeight="1">
      <c r="A1254" s="1" t="str">
        <f>IF(AND('Loan Inputs'!$B$12,1248&lt;=IF('Loan Inputs'!$B$12,'Loan Inputs'!$B$7,0)*'Loan Inputs'!$B$14+5*'Loan Inputs'!$B$14,ISNUMBER(G1253),G1253&gt;0),1248,"")</f>
        <v/>
      </c>
      <c r="B1254" s="4" t="str">
        <f>IF(A1254="","",IF('Loan Inputs'!$B$14=12,DATE(YEAR('Loan Inputs'!$B$8),MONTH('Loan Inputs'!$B$8)+A1254,DAY('Loan Inputs'!$B$8)),'Loan Inputs'!$B$8+A1254*IF('Loan Inputs'!$B$14=26,14,7)))</f>
        <v/>
      </c>
      <c r="C1254" s="2" t="str">
        <f t="shared" si="59"/>
        <v/>
      </c>
      <c r="D1254" s="2" t="str">
        <f>IF(A1254="","",MIN('Loan Inputs'!$B$17,C1254+E1254)+H1254)</f>
        <v/>
      </c>
      <c r="E1254" s="2" t="str">
        <f>IF(A1254="","",C1254*'Loan Inputs'!$B$15)</f>
        <v/>
      </c>
      <c r="F1254" s="2" t="str">
        <f t="shared" si="57"/>
        <v/>
      </c>
      <c r="G1254" s="2" t="str">
        <f t="shared" si="58"/>
        <v/>
      </c>
      <c r="H1254" s="2" t="str">
        <f>IF(A1254="","",MIN('Loan Inputs'!$B$18,MAX(0,C1254+E1254-'Loan Inputs'!$B$17)))</f>
        <v/>
      </c>
    </row>
    <row r="1255" spans="1:8" ht="22" customHeight="1">
      <c r="A1255" s="1" t="str">
        <f>IF(AND('Loan Inputs'!$B$12,1249&lt;=IF('Loan Inputs'!$B$12,'Loan Inputs'!$B$7,0)*'Loan Inputs'!$B$14+5*'Loan Inputs'!$B$14,ISNUMBER(G1254),G1254&gt;0),1249,"")</f>
        <v/>
      </c>
      <c r="B1255" s="4" t="str">
        <f>IF(A1255="","",IF('Loan Inputs'!$B$14=12,DATE(YEAR('Loan Inputs'!$B$8),MONTH('Loan Inputs'!$B$8)+A1255,DAY('Loan Inputs'!$B$8)),'Loan Inputs'!$B$8+A1255*IF('Loan Inputs'!$B$14=26,14,7)))</f>
        <v/>
      </c>
      <c r="C1255" s="2" t="str">
        <f t="shared" si="59"/>
        <v/>
      </c>
      <c r="D1255" s="2" t="str">
        <f>IF(A1255="","",MIN('Loan Inputs'!$B$17,C1255+E1255)+H1255)</f>
        <v/>
      </c>
      <c r="E1255" s="2" t="str">
        <f>IF(A1255="","",C1255*'Loan Inputs'!$B$15)</f>
        <v/>
      </c>
      <c r="F1255" s="2" t="str">
        <f t="shared" si="57"/>
        <v/>
      </c>
      <c r="G1255" s="2" t="str">
        <f t="shared" si="58"/>
        <v/>
      </c>
      <c r="H1255" s="2" t="str">
        <f>IF(A1255="","",MIN('Loan Inputs'!$B$18,MAX(0,C1255+E1255-'Loan Inputs'!$B$17)))</f>
        <v/>
      </c>
    </row>
    <row r="1256" spans="1:8" ht="22" customHeight="1">
      <c r="A1256" s="1" t="str">
        <f>IF(AND('Loan Inputs'!$B$12,1250&lt;=IF('Loan Inputs'!$B$12,'Loan Inputs'!$B$7,0)*'Loan Inputs'!$B$14+5*'Loan Inputs'!$B$14,ISNUMBER(G1255),G1255&gt;0),1250,"")</f>
        <v/>
      </c>
      <c r="B1256" s="4" t="str">
        <f>IF(A1256="","",IF('Loan Inputs'!$B$14=12,DATE(YEAR('Loan Inputs'!$B$8),MONTH('Loan Inputs'!$B$8)+A1256,DAY('Loan Inputs'!$B$8)),'Loan Inputs'!$B$8+A1256*IF('Loan Inputs'!$B$14=26,14,7)))</f>
        <v/>
      </c>
      <c r="C1256" s="2" t="str">
        <f t="shared" si="59"/>
        <v/>
      </c>
      <c r="D1256" s="2" t="str">
        <f>IF(A1256="","",MIN('Loan Inputs'!$B$17,C1256+E1256)+H1256)</f>
        <v/>
      </c>
      <c r="E1256" s="2" t="str">
        <f>IF(A1256="","",C1256*'Loan Inputs'!$B$15)</f>
        <v/>
      </c>
      <c r="F1256" s="2" t="str">
        <f t="shared" si="57"/>
        <v/>
      </c>
      <c r="G1256" s="2" t="str">
        <f t="shared" si="58"/>
        <v/>
      </c>
      <c r="H1256" s="2" t="str">
        <f>IF(A1256="","",MIN('Loan Inputs'!$B$18,MAX(0,C1256+E1256-'Loan Inputs'!$B$17)))</f>
        <v/>
      </c>
    </row>
    <row r="1257" spans="1:8" ht="22" customHeight="1">
      <c r="A1257" s="1" t="str">
        <f>IF(AND('Loan Inputs'!$B$12,1251&lt;=IF('Loan Inputs'!$B$12,'Loan Inputs'!$B$7,0)*'Loan Inputs'!$B$14+5*'Loan Inputs'!$B$14,ISNUMBER(G1256),G1256&gt;0),1251,"")</f>
        <v/>
      </c>
      <c r="B1257" s="4" t="str">
        <f>IF(A1257="","",IF('Loan Inputs'!$B$14=12,DATE(YEAR('Loan Inputs'!$B$8),MONTH('Loan Inputs'!$B$8)+A1257,DAY('Loan Inputs'!$B$8)),'Loan Inputs'!$B$8+A1257*IF('Loan Inputs'!$B$14=26,14,7)))</f>
        <v/>
      </c>
      <c r="C1257" s="2" t="str">
        <f t="shared" si="59"/>
        <v/>
      </c>
      <c r="D1257" s="2" t="str">
        <f>IF(A1257="","",MIN('Loan Inputs'!$B$17,C1257+E1257)+H1257)</f>
        <v/>
      </c>
      <c r="E1257" s="2" t="str">
        <f>IF(A1257="","",C1257*'Loan Inputs'!$B$15)</f>
        <v/>
      </c>
      <c r="F1257" s="2" t="str">
        <f t="shared" si="57"/>
        <v/>
      </c>
      <c r="G1257" s="2" t="str">
        <f t="shared" si="58"/>
        <v/>
      </c>
      <c r="H1257" s="2" t="str">
        <f>IF(A1257="","",MIN('Loan Inputs'!$B$18,MAX(0,C1257+E1257-'Loan Inputs'!$B$17)))</f>
        <v/>
      </c>
    </row>
    <row r="1258" spans="1:8" ht="22" customHeight="1">
      <c r="A1258" s="1" t="str">
        <f>IF(AND('Loan Inputs'!$B$12,1252&lt;=IF('Loan Inputs'!$B$12,'Loan Inputs'!$B$7,0)*'Loan Inputs'!$B$14+5*'Loan Inputs'!$B$14,ISNUMBER(G1257),G1257&gt;0),1252,"")</f>
        <v/>
      </c>
      <c r="B1258" s="4" t="str">
        <f>IF(A1258="","",IF('Loan Inputs'!$B$14=12,DATE(YEAR('Loan Inputs'!$B$8),MONTH('Loan Inputs'!$B$8)+A1258,DAY('Loan Inputs'!$B$8)),'Loan Inputs'!$B$8+A1258*IF('Loan Inputs'!$B$14=26,14,7)))</f>
        <v/>
      </c>
      <c r="C1258" s="2" t="str">
        <f t="shared" si="59"/>
        <v/>
      </c>
      <c r="D1258" s="2" t="str">
        <f>IF(A1258="","",MIN('Loan Inputs'!$B$17,C1258+E1258)+H1258)</f>
        <v/>
      </c>
      <c r="E1258" s="2" t="str">
        <f>IF(A1258="","",C1258*'Loan Inputs'!$B$15)</f>
        <v/>
      </c>
      <c r="F1258" s="2" t="str">
        <f t="shared" si="57"/>
        <v/>
      </c>
      <c r="G1258" s="2" t="str">
        <f t="shared" si="58"/>
        <v/>
      </c>
      <c r="H1258" s="2" t="str">
        <f>IF(A1258="","",MIN('Loan Inputs'!$B$18,MAX(0,C1258+E1258-'Loan Inputs'!$B$17)))</f>
        <v/>
      </c>
    </row>
    <row r="1259" spans="1:8" ht="22" customHeight="1">
      <c r="A1259" s="1" t="str">
        <f>IF(AND('Loan Inputs'!$B$12,1253&lt;=IF('Loan Inputs'!$B$12,'Loan Inputs'!$B$7,0)*'Loan Inputs'!$B$14+5*'Loan Inputs'!$B$14,ISNUMBER(G1258),G1258&gt;0),1253,"")</f>
        <v/>
      </c>
      <c r="B1259" s="4" t="str">
        <f>IF(A1259="","",IF('Loan Inputs'!$B$14=12,DATE(YEAR('Loan Inputs'!$B$8),MONTH('Loan Inputs'!$B$8)+A1259,DAY('Loan Inputs'!$B$8)),'Loan Inputs'!$B$8+A1259*IF('Loan Inputs'!$B$14=26,14,7)))</f>
        <v/>
      </c>
      <c r="C1259" s="2" t="str">
        <f t="shared" si="59"/>
        <v/>
      </c>
      <c r="D1259" s="2" t="str">
        <f>IF(A1259="","",MIN('Loan Inputs'!$B$17,C1259+E1259)+H1259)</f>
        <v/>
      </c>
      <c r="E1259" s="2" t="str">
        <f>IF(A1259="","",C1259*'Loan Inputs'!$B$15)</f>
        <v/>
      </c>
      <c r="F1259" s="2" t="str">
        <f t="shared" si="57"/>
        <v/>
      </c>
      <c r="G1259" s="2" t="str">
        <f t="shared" si="58"/>
        <v/>
      </c>
      <c r="H1259" s="2" t="str">
        <f>IF(A1259="","",MIN('Loan Inputs'!$B$18,MAX(0,C1259+E1259-'Loan Inputs'!$B$17)))</f>
        <v/>
      </c>
    </row>
    <row r="1260" spans="1:8" ht="22" customHeight="1">
      <c r="A1260" s="1" t="str">
        <f>IF(AND('Loan Inputs'!$B$12,1254&lt;=IF('Loan Inputs'!$B$12,'Loan Inputs'!$B$7,0)*'Loan Inputs'!$B$14+5*'Loan Inputs'!$B$14,ISNUMBER(G1259),G1259&gt;0),1254,"")</f>
        <v/>
      </c>
      <c r="B1260" s="4" t="str">
        <f>IF(A1260="","",IF('Loan Inputs'!$B$14=12,DATE(YEAR('Loan Inputs'!$B$8),MONTH('Loan Inputs'!$B$8)+A1260,DAY('Loan Inputs'!$B$8)),'Loan Inputs'!$B$8+A1260*IF('Loan Inputs'!$B$14=26,14,7)))</f>
        <v/>
      </c>
      <c r="C1260" s="2" t="str">
        <f t="shared" si="59"/>
        <v/>
      </c>
      <c r="D1260" s="2" t="str">
        <f>IF(A1260="","",MIN('Loan Inputs'!$B$17,C1260+E1260)+H1260)</f>
        <v/>
      </c>
      <c r="E1260" s="2" t="str">
        <f>IF(A1260="","",C1260*'Loan Inputs'!$B$15)</f>
        <v/>
      </c>
      <c r="F1260" s="2" t="str">
        <f t="shared" si="57"/>
        <v/>
      </c>
      <c r="G1260" s="2" t="str">
        <f t="shared" si="58"/>
        <v/>
      </c>
      <c r="H1260" s="2" t="str">
        <f>IF(A1260="","",MIN('Loan Inputs'!$B$18,MAX(0,C1260+E1260-'Loan Inputs'!$B$17)))</f>
        <v/>
      </c>
    </row>
    <row r="1261" spans="1:8" ht="22" customHeight="1">
      <c r="A1261" s="1" t="str">
        <f>IF(AND('Loan Inputs'!$B$12,1255&lt;=IF('Loan Inputs'!$B$12,'Loan Inputs'!$B$7,0)*'Loan Inputs'!$B$14+5*'Loan Inputs'!$B$14,ISNUMBER(G1260),G1260&gt;0),1255,"")</f>
        <v/>
      </c>
      <c r="B1261" s="4" t="str">
        <f>IF(A1261="","",IF('Loan Inputs'!$B$14=12,DATE(YEAR('Loan Inputs'!$B$8),MONTH('Loan Inputs'!$B$8)+A1261,DAY('Loan Inputs'!$B$8)),'Loan Inputs'!$B$8+A1261*IF('Loan Inputs'!$B$14=26,14,7)))</f>
        <v/>
      </c>
      <c r="C1261" s="2" t="str">
        <f t="shared" si="59"/>
        <v/>
      </c>
      <c r="D1261" s="2" t="str">
        <f>IF(A1261="","",MIN('Loan Inputs'!$B$17,C1261+E1261)+H1261)</f>
        <v/>
      </c>
      <c r="E1261" s="2" t="str">
        <f>IF(A1261="","",C1261*'Loan Inputs'!$B$15)</f>
        <v/>
      </c>
      <c r="F1261" s="2" t="str">
        <f t="shared" si="57"/>
        <v/>
      </c>
      <c r="G1261" s="2" t="str">
        <f t="shared" si="58"/>
        <v/>
      </c>
      <c r="H1261" s="2" t="str">
        <f>IF(A1261="","",MIN('Loan Inputs'!$B$18,MAX(0,C1261+E1261-'Loan Inputs'!$B$17)))</f>
        <v/>
      </c>
    </row>
    <row r="1262" spans="1:8" ht="22" customHeight="1">
      <c r="A1262" s="1" t="str">
        <f>IF(AND('Loan Inputs'!$B$12,1256&lt;=IF('Loan Inputs'!$B$12,'Loan Inputs'!$B$7,0)*'Loan Inputs'!$B$14+5*'Loan Inputs'!$B$14,ISNUMBER(G1261),G1261&gt;0),1256,"")</f>
        <v/>
      </c>
      <c r="B1262" s="4" t="str">
        <f>IF(A1262="","",IF('Loan Inputs'!$B$14=12,DATE(YEAR('Loan Inputs'!$B$8),MONTH('Loan Inputs'!$B$8)+A1262,DAY('Loan Inputs'!$B$8)),'Loan Inputs'!$B$8+A1262*IF('Loan Inputs'!$B$14=26,14,7)))</f>
        <v/>
      </c>
      <c r="C1262" s="2" t="str">
        <f t="shared" si="59"/>
        <v/>
      </c>
      <c r="D1262" s="2" t="str">
        <f>IF(A1262="","",MIN('Loan Inputs'!$B$17,C1262+E1262)+H1262)</f>
        <v/>
      </c>
      <c r="E1262" s="2" t="str">
        <f>IF(A1262="","",C1262*'Loan Inputs'!$B$15)</f>
        <v/>
      </c>
      <c r="F1262" s="2" t="str">
        <f t="shared" si="57"/>
        <v/>
      </c>
      <c r="G1262" s="2" t="str">
        <f t="shared" si="58"/>
        <v/>
      </c>
      <c r="H1262" s="2" t="str">
        <f>IF(A1262="","",MIN('Loan Inputs'!$B$18,MAX(0,C1262+E1262-'Loan Inputs'!$B$17)))</f>
        <v/>
      </c>
    </row>
    <row r="1263" spans="1:8" ht="22" customHeight="1">
      <c r="A1263" s="1" t="str">
        <f>IF(AND('Loan Inputs'!$B$12,1257&lt;=IF('Loan Inputs'!$B$12,'Loan Inputs'!$B$7,0)*'Loan Inputs'!$B$14+5*'Loan Inputs'!$B$14,ISNUMBER(G1262),G1262&gt;0),1257,"")</f>
        <v/>
      </c>
      <c r="B1263" s="4" t="str">
        <f>IF(A1263="","",IF('Loan Inputs'!$B$14=12,DATE(YEAR('Loan Inputs'!$B$8),MONTH('Loan Inputs'!$B$8)+A1263,DAY('Loan Inputs'!$B$8)),'Loan Inputs'!$B$8+A1263*IF('Loan Inputs'!$B$14=26,14,7)))</f>
        <v/>
      </c>
      <c r="C1263" s="2" t="str">
        <f t="shared" si="59"/>
        <v/>
      </c>
      <c r="D1263" s="2" t="str">
        <f>IF(A1263="","",MIN('Loan Inputs'!$B$17,C1263+E1263)+H1263)</f>
        <v/>
      </c>
      <c r="E1263" s="2" t="str">
        <f>IF(A1263="","",C1263*'Loan Inputs'!$B$15)</f>
        <v/>
      </c>
      <c r="F1263" s="2" t="str">
        <f t="shared" si="57"/>
        <v/>
      </c>
      <c r="G1263" s="2" t="str">
        <f t="shared" si="58"/>
        <v/>
      </c>
      <c r="H1263" s="2" t="str">
        <f>IF(A1263="","",MIN('Loan Inputs'!$B$18,MAX(0,C1263+E1263-'Loan Inputs'!$B$17)))</f>
        <v/>
      </c>
    </row>
    <row r="1264" spans="1:8" ht="22" customHeight="1">
      <c r="A1264" s="1" t="str">
        <f>IF(AND('Loan Inputs'!$B$12,1258&lt;=IF('Loan Inputs'!$B$12,'Loan Inputs'!$B$7,0)*'Loan Inputs'!$B$14+5*'Loan Inputs'!$B$14,ISNUMBER(G1263),G1263&gt;0),1258,"")</f>
        <v/>
      </c>
      <c r="B1264" s="4" t="str">
        <f>IF(A1264="","",IF('Loan Inputs'!$B$14=12,DATE(YEAR('Loan Inputs'!$B$8),MONTH('Loan Inputs'!$B$8)+A1264,DAY('Loan Inputs'!$B$8)),'Loan Inputs'!$B$8+A1264*IF('Loan Inputs'!$B$14=26,14,7)))</f>
        <v/>
      </c>
      <c r="C1264" s="2" t="str">
        <f t="shared" si="59"/>
        <v/>
      </c>
      <c r="D1264" s="2" t="str">
        <f>IF(A1264="","",MIN('Loan Inputs'!$B$17,C1264+E1264)+H1264)</f>
        <v/>
      </c>
      <c r="E1264" s="2" t="str">
        <f>IF(A1264="","",C1264*'Loan Inputs'!$B$15)</f>
        <v/>
      </c>
      <c r="F1264" s="2" t="str">
        <f t="shared" si="57"/>
        <v/>
      </c>
      <c r="G1264" s="2" t="str">
        <f t="shared" si="58"/>
        <v/>
      </c>
      <c r="H1264" s="2" t="str">
        <f>IF(A1264="","",MIN('Loan Inputs'!$B$18,MAX(0,C1264+E1264-'Loan Inputs'!$B$17)))</f>
        <v/>
      </c>
    </row>
    <row r="1265" spans="1:8" ht="22" customHeight="1">
      <c r="A1265" s="1" t="str">
        <f>IF(AND('Loan Inputs'!$B$12,1259&lt;=IF('Loan Inputs'!$B$12,'Loan Inputs'!$B$7,0)*'Loan Inputs'!$B$14+5*'Loan Inputs'!$B$14,ISNUMBER(G1264),G1264&gt;0),1259,"")</f>
        <v/>
      </c>
      <c r="B1265" s="4" t="str">
        <f>IF(A1265="","",IF('Loan Inputs'!$B$14=12,DATE(YEAR('Loan Inputs'!$B$8),MONTH('Loan Inputs'!$B$8)+A1265,DAY('Loan Inputs'!$B$8)),'Loan Inputs'!$B$8+A1265*IF('Loan Inputs'!$B$14=26,14,7)))</f>
        <v/>
      </c>
      <c r="C1265" s="2" t="str">
        <f t="shared" si="59"/>
        <v/>
      </c>
      <c r="D1265" s="2" t="str">
        <f>IF(A1265="","",MIN('Loan Inputs'!$B$17,C1265+E1265)+H1265)</f>
        <v/>
      </c>
      <c r="E1265" s="2" t="str">
        <f>IF(A1265="","",C1265*'Loan Inputs'!$B$15)</f>
        <v/>
      </c>
      <c r="F1265" s="2" t="str">
        <f t="shared" si="57"/>
        <v/>
      </c>
      <c r="G1265" s="2" t="str">
        <f t="shared" si="58"/>
        <v/>
      </c>
      <c r="H1265" s="2" t="str">
        <f>IF(A1265="","",MIN('Loan Inputs'!$B$18,MAX(0,C1265+E1265-'Loan Inputs'!$B$17)))</f>
        <v/>
      </c>
    </row>
    <row r="1266" spans="1:8" ht="22" customHeight="1">
      <c r="A1266" s="1" t="str">
        <f>IF(AND('Loan Inputs'!$B$12,1260&lt;=IF('Loan Inputs'!$B$12,'Loan Inputs'!$B$7,0)*'Loan Inputs'!$B$14+5*'Loan Inputs'!$B$14,ISNUMBER(G1265),G1265&gt;0),1260,"")</f>
        <v/>
      </c>
      <c r="B1266" s="4" t="str">
        <f>IF(A1266="","",IF('Loan Inputs'!$B$14=12,DATE(YEAR('Loan Inputs'!$B$8),MONTH('Loan Inputs'!$B$8)+A1266,DAY('Loan Inputs'!$B$8)),'Loan Inputs'!$B$8+A1266*IF('Loan Inputs'!$B$14=26,14,7)))</f>
        <v/>
      </c>
      <c r="C1266" s="2" t="str">
        <f t="shared" si="59"/>
        <v/>
      </c>
      <c r="D1266" s="2" t="str">
        <f>IF(A1266="","",MIN('Loan Inputs'!$B$17,C1266+E1266)+H1266)</f>
        <v/>
      </c>
      <c r="E1266" s="2" t="str">
        <f>IF(A1266="","",C1266*'Loan Inputs'!$B$15)</f>
        <v/>
      </c>
      <c r="F1266" s="2" t="str">
        <f t="shared" si="57"/>
        <v/>
      </c>
      <c r="G1266" s="2" t="str">
        <f t="shared" si="58"/>
        <v/>
      </c>
      <c r="H1266" s="2" t="str">
        <f>IF(A1266="","",MIN('Loan Inputs'!$B$18,MAX(0,C1266+E1266-'Loan Inputs'!$B$17)))</f>
        <v/>
      </c>
    </row>
    <row r="1267" spans="1:8" ht="22" customHeight="1">
      <c r="A1267" s="1" t="str">
        <f>IF(AND('Loan Inputs'!$B$12,1261&lt;=IF('Loan Inputs'!$B$12,'Loan Inputs'!$B$7,0)*'Loan Inputs'!$B$14+5*'Loan Inputs'!$B$14,ISNUMBER(G1266),G1266&gt;0),1261,"")</f>
        <v/>
      </c>
      <c r="B1267" s="4" t="str">
        <f>IF(A1267="","",IF('Loan Inputs'!$B$14=12,DATE(YEAR('Loan Inputs'!$B$8),MONTH('Loan Inputs'!$B$8)+A1267,DAY('Loan Inputs'!$B$8)),'Loan Inputs'!$B$8+A1267*IF('Loan Inputs'!$B$14=26,14,7)))</f>
        <v/>
      </c>
      <c r="C1267" s="2" t="str">
        <f t="shared" si="59"/>
        <v/>
      </c>
      <c r="D1267" s="2" t="str">
        <f>IF(A1267="","",MIN('Loan Inputs'!$B$17,C1267+E1267)+H1267)</f>
        <v/>
      </c>
      <c r="E1267" s="2" t="str">
        <f>IF(A1267="","",C1267*'Loan Inputs'!$B$15)</f>
        <v/>
      </c>
      <c r="F1267" s="2" t="str">
        <f t="shared" si="57"/>
        <v/>
      </c>
      <c r="G1267" s="2" t="str">
        <f t="shared" si="58"/>
        <v/>
      </c>
      <c r="H1267" s="2" t="str">
        <f>IF(A1267="","",MIN('Loan Inputs'!$B$18,MAX(0,C1267+E1267-'Loan Inputs'!$B$17)))</f>
        <v/>
      </c>
    </row>
    <row r="1268" spans="1:8" ht="22" customHeight="1">
      <c r="A1268" s="1" t="str">
        <f>IF(AND('Loan Inputs'!$B$12,1262&lt;=IF('Loan Inputs'!$B$12,'Loan Inputs'!$B$7,0)*'Loan Inputs'!$B$14+5*'Loan Inputs'!$B$14,ISNUMBER(G1267),G1267&gt;0),1262,"")</f>
        <v/>
      </c>
      <c r="B1268" s="4" t="str">
        <f>IF(A1268="","",IF('Loan Inputs'!$B$14=12,DATE(YEAR('Loan Inputs'!$B$8),MONTH('Loan Inputs'!$B$8)+A1268,DAY('Loan Inputs'!$B$8)),'Loan Inputs'!$B$8+A1268*IF('Loan Inputs'!$B$14=26,14,7)))</f>
        <v/>
      </c>
      <c r="C1268" s="2" t="str">
        <f t="shared" si="59"/>
        <v/>
      </c>
      <c r="D1268" s="2" t="str">
        <f>IF(A1268="","",MIN('Loan Inputs'!$B$17,C1268+E1268)+H1268)</f>
        <v/>
      </c>
      <c r="E1268" s="2" t="str">
        <f>IF(A1268="","",C1268*'Loan Inputs'!$B$15)</f>
        <v/>
      </c>
      <c r="F1268" s="2" t="str">
        <f t="shared" si="57"/>
        <v/>
      </c>
      <c r="G1268" s="2" t="str">
        <f t="shared" si="58"/>
        <v/>
      </c>
      <c r="H1268" s="2" t="str">
        <f>IF(A1268="","",MIN('Loan Inputs'!$B$18,MAX(0,C1268+E1268-'Loan Inputs'!$B$17)))</f>
        <v/>
      </c>
    </row>
    <row r="1269" spans="1:8" ht="22" customHeight="1">
      <c r="A1269" s="1" t="str">
        <f>IF(AND('Loan Inputs'!$B$12,1263&lt;=IF('Loan Inputs'!$B$12,'Loan Inputs'!$B$7,0)*'Loan Inputs'!$B$14+5*'Loan Inputs'!$B$14,ISNUMBER(G1268),G1268&gt;0),1263,"")</f>
        <v/>
      </c>
      <c r="B1269" s="4" t="str">
        <f>IF(A1269="","",IF('Loan Inputs'!$B$14=12,DATE(YEAR('Loan Inputs'!$B$8),MONTH('Loan Inputs'!$B$8)+A1269,DAY('Loan Inputs'!$B$8)),'Loan Inputs'!$B$8+A1269*IF('Loan Inputs'!$B$14=26,14,7)))</f>
        <v/>
      </c>
      <c r="C1269" s="2" t="str">
        <f t="shared" si="59"/>
        <v/>
      </c>
      <c r="D1269" s="2" t="str">
        <f>IF(A1269="","",MIN('Loan Inputs'!$B$17,C1269+E1269)+H1269)</f>
        <v/>
      </c>
      <c r="E1269" s="2" t="str">
        <f>IF(A1269="","",C1269*'Loan Inputs'!$B$15)</f>
        <v/>
      </c>
      <c r="F1269" s="2" t="str">
        <f t="shared" si="57"/>
        <v/>
      </c>
      <c r="G1269" s="2" t="str">
        <f t="shared" si="58"/>
        <v/>
      </c>
      <c r="H1269" s="2" t="str">
        <f>IF(A1269="","",MIN('Loan Inputs'!$B$18,MAX(0,C1269+E1269-'Loan Inputs'!$B$17)))</f>
        <v/>
      </c>
    </row>
    <row r="1270" spans="1:8" ht="22" customHeight="1">
      <c r="A1270" s="1" t="str">
        <f>IF(AND('Loan Inputs'!$B$12,1264&lt;=IF('Loan Inputs'!$B$12,'Loan Inputs'!$B$7,0)*'Loan Inputs'!$B$14+5*'Loan Inputs'!$B$14,ISNUMBER(G1269),G1269&gt;0),1264,"")</f>
        <v/>
      </c>
      <c r="B1270" s="4" t="str">
        <f>IF(A1270="","",IF('Loan Inputs'!$B$14=12,DATE(YEAR('Loan Inputs'!$B$8),MONTH('Loan Inputs'!$B$8)+A1270,DAY('Loan Inputs'!$B$8)),'Loan Inputs'!$B$8+A1270*IF('Loan Inputs'!$B$14=26,14,7)))</f>
        <v/>
      </c>
      <c r="C1270" s="2" t="str">
        <f t="shared" si="59"/>
        <v/>
      </c>
      <c r="D1270" s="2" t="str">
        <f>IF(A1270="","",MIN('Loan Inputs'!$B$17,C1270+E1270)+H1270)</f>
        <v/>
      </c>
      <c r="E1270" s="2" t="str">
        <f>IF(A1270="","",C1270*'Loan Inputs'!$B$15)</f>
        <v/>
      </c>
      <c r="F1270" s="2" t="str">
        <f t="shared" si="57"/>
        <v/>
      </c>
      <c r="G1270" s="2" t="str">
        <f t="shared" si="58"/>
        <v/>
      </c>
      <c r="H1270" s="2" t="str">
        <f>IF(A1270="","",MIN('Loan Inputs'!$B$18,MAX(0,C1270+E1270-'Loan Inputs'!$B$17)))</f>
        <v/>
      </c>
    </row>
    <row r="1271" spans="1:8" ht="22" customHeight="1">
      <c r="A1271" s="1" t="str">
        <f>IF(AND('Loan Inputs'!$B$12,1265&lt;=IF('Loan Inputs'!$B$12,'Loan Inputs'!$B$7,0)*'Loan Inputs'!$B$14+5*'Loan Inputs'!$B$14,ISNUMBER(G1270),G1270&gt;0),1265,"")</f>
        <v/>
      </c>
      <c r="B1271" s="4" t="str">
        <f>IF(A1271="","",IF('Loan Inputs'!$B$14=12,DATE(YEAR('Loan Inputs'!$B$8),MONTH('Loan Inputs'!$B$8)+A1271,DAY('Loan Inputs'!$B$8)),'Loan Inputs'!$B$8+A1271*IF('Loan Inputs'!$B$14=26,14,7)))</f>
        <v/>
      </c>
      <c r="C1271" s="2" t="str">
        <f t="shared" si="59"/>
        <v/>
      </c>
      <c r="D1271" s="2" t="str">
        <f>IF(A1271="","",MIN('Loan Inputs'!$B$17,C1271+E1271)+H1271)</f>
        <v/>
      </c>
      <c r="E1271" s="2" t="str">
        <f>IF(A1271="","",C1271*'Loan Inputs'!$B$15)</f>
        <v/>
      </c>
      <c r="F1271" s="2" t="str">
        <f t="shared" si="57"/>
        <v/>
      </c>
      <c r="G1271" s="2" t="str">
        <f t="shared" si="58"/>
        <v/>
      </c>
      <c r="H1271" s="2" t="str">
        <f>IF(A1271="","",MIN('Loan Inputs'!$B$18,MAX(0,C1271+E1271-'Loan Inputs'!$B$17)))</f>
        <v/>
      </c>
    </row>
    <row r="1272" spans="1:8" ht="22" customHeight="1">
      <c r="A1272" s="1" t="str">
        <f>IF(AND('Loan Inputs'!$B$12,1266&lt;=IF('Loan Inputs'!$B$12,'Loan Inputs'!$B$7,0)*'Loan Inputs'!$B$14+5*'Loan Inputs'!$B$14,ISNUMBER(G1271),G1271&gt;0),1266,"")</f>
        <v/>
      </c>
      <c r="B1272" s="4" t="str">
        <f>IF(A1272="","",IF('Loan Inputs'!$B$14=12,DATE(YEAR('Loan Inputs'!$B$8),MONTH('Loan Inputs'!$B$8)+A1272,DAY('Loan Inputs'!$B$8)),'Loan Inputs'!$B$8+A1272*IF('Loan Inputs'!$B$14=26,14,7)))</f>
        <v/>
      </c>
      <c r="C1272" s="2" t="str">
        <f t="shared" si="59"/>
        <v/>
      </c>
      <c r="D1272" s="2" t="str">
        <f>IF(A1272="","",MIN('Loan Inputs'!$B$17,C1272+E1272)+H1272)</f>
        <v/>
      </c>
      <c r="E1272" s="2" t="str">
        <f>IF(A1272="","",C1272*'Loan Inputs'!$B$15)</f>
        <v/>
      </c>
      <c r="F1272" s="2" t="str">
        <f t="shared" si="57"/>
        <v/>
      </c>
      <c r="G1272" s="2" t="str">
        <f t="shared" si="58"/>
        <v/>
      </c>
      <c r="H1272" s="2" t="str">
        <f>IF(A1272="","",MIN('Loan Inputs'!$B$18,MAX(0,C1272+E1272-'Loan Inputs'!$B$17)))</f>
        <v/>
      </c>
    </row>
    <row r="1273" spans="1:8" ht="22" customHeight="1">
      <c r="A1273" s="1" t="str">
        <f>IF(AND('Loan Inputs'!$B$12,1267&lt;=IF('Loan Inputs'!$B$12,'Loan Inputs'!$B$7,0)*'Loan Inputs'!$B$14+5*'Loan Inputs'!$B$14,ISNUMBER(G1272),G1272&gt;0),1267,"")</f>
        <v/>
      </c>
      <c r="B1273" s="4" t="str">
        <f>IF(A1273="","",IF('Loan Inputs'!$B$14=12,DATE(YEAR('Loan Inputs'!$B$8),MONTH('Loan Inputs'!$B$8)+A1273,DAY('Loan Inputs'!$B$8)),'Loan Inputs'!$B$8+A1273*IF('Loan Inputs'!$B$14=26,14,7)))</f>
        <v/>
      </c>
      <c r="C1273" s="2" t="str">
        <f t="shared" si="59"/>
        <v/>
      </c>
      <c r="D1273" s="2" t="str">
        <f>IF(A1273="","",MIN('Loan Inputs'!$B$17,C1273+E1273)+H1273)</f>
        <v/>
      </c>
      <c r="E1273" s="2" t="str">
        <f>IF(A1273="","",C1273*'Loan Inputs'!$B$15)</f>
        <v/>
      </c>
      <c r="F1273" s="2" t="str">
        <f t="shared" si="57"/>
        <v/>
      </c>
      <c r="G1273" s="2" t="str">
        <f t="shared" si="58"/>
        <v/>
      </c>
      <c r="H1273" s="2" t="str">
        <f>IF(A1273="","",MIN('Loan Inputs'!$B$18,MAX(0,C1273+E1273-'Loan Inputs'!$B$17)))</f>
        <v/>
      </c>
    </row>
    <row r="1274" spans="1:8" ht="22" customHeight="1">
      <c r="A1274" s="1" t="str">
        <f>IF(AND('Loan Inputs'!$B$12,1268&lt;=IF('Loan Inputs'!$B$12,'Loan Inputs'!$B$7,0)*'Loan Inputs'!$B$14+5*'Loan Inputs'!$B$14,ISNUMBER(G1273),G1273&gt;0),1268,"")</f>
        <v/>
      </c>
      <c r="B1274" s="4" t="str">
        <f>IF(A1274="","",IF('Loan Inputs'!$B$14=12,DATE(YEAR('Loan Inputs'!$B$8),MONTH('Loan Inputs'!$B$8)+A1274,DAY('Loan Inputs'!$B$8)),'Loan Inputs'!$B$8+A1274*IF('Loan Inputs'!$B$14=26,14,7)))</f>
        <v/>
      </c>
      <c r="C1274" s="2" t="str">
        <f t="shared" si="59"/>
        <v/>
      </c>
      <c r="D1274" s="2" t="str">
        <f>IF(A1274="","",MIN('Loan Inputs'!$B$17,C1274+E1274)+H1274)</f>
        <v/>
      </c>
      <c r="E1274" s="2" t="str">
        <f>IF(A1274="","",C1274*'Loan Inputs'!$B$15)</f>
        <v/>
      </c>
      <c r="F1274" s="2" t="str">
        <f t="shared" si="57"/>
        <v/>
      </c>
      <c r="G1274" s="2" t="str">
        <f t="shared" si="58"/>
        <v/>
      </c>
      <c r="H1274" s="2" t="str">
        <f>IF(A1274="","",MIN('Loan Inputs'!$B$18,MAX(0,C1274+E1274-'Loan Inputs'!$B$17)))</f>
        <v/>
      </c>
    </row>
    <row r="1275" spans="1:8" ht="22" customHeight="1">
      <c r="A1275" s="1" t="str">
        <f>IF(AND('Loan Inputs'!$B$12,1269&lt;=IF('Loan Inputs'!$B$12,'Loan Inputs'!$B$7,0)*'Loan Inputs'!$B$14+5*'Loan Inputs'!$B$14,ISNUMBER(G1274),G1274&gt;0),1269,"")</f>
        <v/>
      </c>
      <c r="B1275" s="4" t="str">
        <f>IF(A1275="","",IF('Loan Inputs'!$B$14=12,DATE(YEAR('Loan Inputs'!$B$8),MONTH('Loan Inputs'!$B$8)+A1275,DAY('Loan Inputs'!$B$8)),'Loan Inputs'!$B$8+A1275*IF('Loan Inputs'!$B$14=26,14,7)))</f>
        <v/>
      </c>
      <c r="C1275" s="2" t="str">
        <f t="shared" si="59"/>
        <v/>
      </c>
      <c r="D1275" s="2" t="str">
        <f>IF(A1275="","",MIN('Loan Inputs'!$B$17,C1275+E1275)+H1275)</f>
        <v/>
      </c>
      <c r="E1275" s="2" t="str">
        <f>IF(A1275="","",C1275*'Loan Inputs'!$B$15)</f>
        <v/>
      </c>
      <c r="F1275" s="2" t="str">
        <f t="shared" si="57"/>
        <v/>
      </c>
      <c r="G1275" s="2" t="str">
        <f t="shared" si="58"/>
        <v/>
      </c>
      <c r="H1275" s="2" t="str">
        <f>IF(A1275="","",MIN('Loan Inputs'!$B$18,MAX(0,C1275+E1275-'Loan Inputs'!$B$17)))</f>
        <v/>
      </c>
    </row>
    <row r="1276" spans="1:8" ht="22" customHeight="1">
      <c r="A1276" s="1" t="str">
        <f>IF(AND('Loan Inputs'!$B$12,1270&lt;=IF('Loan Inputs'!$B$12,'Loan Inputs'!$B$7,0)*'Loan Inputs'!$B$14+5*'Loan Inputs'!$B$14,ISNUMBER(G1275),G1275&gt;0),1270,"")</f>
        <v/>
      </c>
      <c r="B1276" s="4" t="str">
        <f>IF(A1276="","",IF('Loan Inputs'!$B$14=12,DATE(YEAR('Loan Inputs'!$B$8),MONTH('Loan Inputs'!$B$8)+A1276,DAY('Loan Inputs'!$B$8)),'Loan Inputs'!$B$8+A1276*IF('Loan Inputs'!$B$14=26,14,7)))</f>
        <v/>
      </c>
      <c r="C1276" s="2" t="str">
        <f t="shared" si="59"/>
        <v/>
      </c>
      <c r="D1276" s="2" t="str">
        <f>IF(A1276="","",MIN('Loan Inputs'!$B$17,C1276+E1276)+H1276)</f>
        <v/>
      </c>
      <c r="E1276" s="2" t="str">
        <f>IF(A1276="","",C1276*'Loan Inputs'!$B$15)</f>
        <v/>
      </c>
      <c r="F1276" s="2" t="str">
        <f t="shared" si="57"/>
        <v/>
      </c>
      <c r="G1276" s="2" t="str">
        <f t="shared" si="58"/>
        <v/>
      </c>
      <c r="H1276" s="2" t="str">
        <f>IF(A1276="","",MIN('Loan Inputs'!$B$18,MAX(0,C1276+E1276-'Loan Inputs'!$B$17)))</f>
        <v/>
      </c>
    </row>
    <row r="1277" spans="1:8" ht="22" customHeight="1">
      <c r="A1277" s="1" t="str">
        <f>IF(AND('Loan Inputs'!$B$12,1271&lt;=IF('Loan Inputs'!$B$12,'Loan Inputs'!$B$7,0)*'Loan Inputs'!$B$14+5*'Loan Inputs'!$B$14,ISNUMBER(G1276),G1276&gt;0),1271,"")</f>
        <v/>
      </c>
      <c r="B1277" s="4" t="str">
        <f>IF(A1277="","",IF('Loan Inputs'!$B$14=12,DATE(YEAR('Loan Inputs'!$B$8),MONTH('Loan Inputs'!$B$8)+A1277,DAY('Loan Inputs'!$B$8)),'Loan Inputs'!$B$8+A1277*IF('Loan Inputs'!$B$14=26,14,7)))</f>
        <v/>
      </c>
      <c r="C1277" s="2" t="str">
        <f t="shared" si="59"/>
        <v/>
      </c>
      <c r="D1277" s="2" t="str">
        <f>IF(A1277="","",MIN('Loan Inputs'!$B$17,C1277+E1277)+H1277)</f>
        <v/>
      </c>
      <c r="E1277" s="2" t="str">
        <f>IF(A1277="","",C1277*'Loan Inputs'!$B$15)</f>
        <v/>
      </c>
      <c r="F1277" s="2" t="str">
        <f t="shared" si="57"/>
        <v/>
      </c>
      <c r="G1277" s="2" t="str">
        <f t="shared" si="58"/>
        <v/>
      </c>
      <c r="H1277" s="2" t="str">
        <f>IF(A1277="","",MIN('Loan Inputs'!$B$18,MAX(0,C1277+E1277-'Loan Inputs'!$B$17)))</f>
        <v/>
      </c>
    </row>
    <row r="1278" spans="1:8" ht="22" customHeight="1">
      <c r="A1278" s="1" t="str">
        <f>IF(AND('Loan Inputs'!$B$12,1272&lt;=IF('Loan Inputs'!$B$12,'Loan Inputs'!$B$7,0)*'Loan Inputs'!$B$14+5*'Loan Inputs'!$B$14,ISNUMBER(G1277),G1277&gt;0),1272,"")</f>
        <v/>
      </c>
      <c r="B1278" s="4" t="str">
        <f>IF(A1278="","",IF('Loan Inputs'!$B$14=12,DATE(YEAR('Loan Inputs'!$B$8),MONTH('Loan Inputs'!$B$8)+A1278,DAY('Loan Inputs'!$B$8)),'Loan Inputs'!$B$8+A1278*IF('Loan Inputs'!$B$14=26,14,7)))</f>
        <v/>
      </c>
      <c r="C1278" s="2" t="str">
        <f t="shared" si="59"/>
        <v/>
      </c>
      <c r="D1278" s="2" t="str">
        <f>IF(A1278="","",MIN('Loan Inputs'!$B$17,C1278+E1278)+H1278)</f>
        <v/>
      </c>
      <c r="E1278" s="2" t="str">
        <f>IF(A1278="","",C1278*'Loan Inputs'!$B$15)</f>
        <v/>
      </c>
      <c r="F1278" s="2" t="str">
        <f t="shared" si="57"/>
        <v/>
      </c>
      <c r="G1278" s="2" t="str">
        <f t="shared" si="58"/>
        <v/>
      </c>
      <c r="H1278" s="2" t="str">
        <f>IF(A1278="","",MIN('Loan Inputs'!$B$18,MAX(0,C1278+E1278-'Loan Inputs'!$B$17)))</f>
        <v/>
      </c>
    </row>
    <row r="1279" spans="1:8" ht="22" customHeight="1">
      <c r="A1279" s="1" t="str">
        <f>IF(AND('Loan Inputs'!$B$12,1273&lt;=IF('Loan Inputs'!$B$12,'Loan Inputs'!$B$7,0)*'Loan Inputs'!$B$14+5*'Loan Inputs'!$B$14,ISNUMBER(G1278),G1278&gt;0),1273,"")</f>
        <v/>
      </c>
      <c r="B1279" s="4" t="str">
        <f>IF(A1279="","",IF('Loan Inputs'!$B$14=12,DATE(YEAR('Loan Inputs'!$B$8),MONTH('Loan Inputs'!$B$8)+A1279,DAY('Loan Inputs'!$B$8)),'Loan Inputs'!$B$8+A1279*IF('Loan Inputs'!$B$14=26,14,7)))</f>
        <v/>
      </c>
      <c r="C1279" s="2" t="str">
        <f t="shared" si="59"/>
        <v/>
      </c>
      <c r="D1279" s="2" t="str">
        <f>IF(A1279="","",MIN('Loan Inputs'!$B$17,C1279+E1279)+H1279)</f>
        <v/>
      </c>
      <c r="E1279" s="2" t="str">
        <f>IF(A1279="","",C1279*'Loan Inputs'!$B$15)</f>
        <v/>
      </c>
      <c r="F1279" s="2" t="str">
        <f t="shared" si="57"/>
        <v/>
      </c>
      <c r="G1279" s="2" t="str">
        <f t="shared" si="58"/>
        <v/>
      </c>
      <c r="H1279" s="2" t="str">
        <f>IF(A1279="","",MIN('Loan Inputs'!$B$18,MAX(0,C1279+E1279-'Loan Inputs'!$B$17)))</f>
        <v/>
      </c>
    </row>
    <row r="1280" spans="1:8" ht="22" customHeight="1">
      <c r="A1280" s="1" t="str">
        <f>IF(AND('Loan Inputs'!$B$12,1274&lt;=IF('Loan Inputs'!$B$12,'Loan Inputs'!$B$7,0)*'Loan Inputs'!$B$14+5*'Loan Inputs'!$B$14,ISNUMBER(G1279),G1279&gt;0),1274,"")</f>
        <v/>
      </c>
      <c r="B1280" s="4" t="str">
        <f>IF(A1280="","",IF('Loan Inputs'!$B$14=12,DATE(YEAR('Loan Inputs'!$B$8),MONTH('Loan Inputs'!$B$8)+A1280,DAY('Loan Inputs'!$B$8)),'Loan Inputs'!$B$8+A1280*IF('Loan Inputs'!$B$14=26,14,7)))</f>
        <v/>
      </c>
      <c r="C1280" s="2" t="str">
        <f t="shared" si="59"/>
        <v/>
      </c>
      <c r="D1280" s="2" t="str">
        <f>IF(A1280="","",MIN('Loan Inputs'!$B$17,C1280+E1280)+H1280)</f>
        <v/>
      </c>
      <c r="E1280" s="2" t="str">
        <f>IF(A1280="","",C1280*'Loan Inputs'!$B$15)</f>
        <v/>
      </c>
      <c r="F1280" s="2" t="str">
        <f t="shared" si="57"/>
        <v/>
      </c>
      <c r="G1280" s="2" t="str">
        <f t="shared" si="58"/>
        <v/>
      </c>
      <c r="H1280" s="2" t="str">
        <f>IF(A1280="","",MIN('Loan Inputs'!$B$18,MAX(0,C1280+E1280-'Loan Inputs'!$B$17)))</f>
        <v/>
      </c>
    </row>
    <row r="1281" spans="1:8" ht="22" customHeight="1">
      <c r="A1281" s="1" t="str">
        <f>IF(AND('Loan Inputs'!$B$12,1275&lt;=IF('Loan Inputs'!$B$12,'Loan Inputs'!$B$7,0)*'Loan Inputs'!$B$14+5*'Loan Inputs'!$B$14,ISNUMBER(G1280),G1280&gt;0),1275,"")</f>
        <v/>
      </c>
      <c r="B1281" s="4" t="str">
        <f>IF(A1281="","",IF('Loan Inputs'!$B$14=12,DATE(YEAR('Loan Inputs'!$B$8),MONTH('Loan Inputs'!$B$8)+A1281,DAY('Loan Inputs'!$B$8)),'Loan Inputs'!$B$8+A1281*IF('Loan Inputs'!$B$14=26,14,7)))</f>
        <v/>
      </c>
      <c r="C1281" s="2" t="str">
        <f t="shared" si="59"/>
        <v/>
      </c>
      <c r="D1281" s="2" t="str">
        <f>IF(A1281="","",MIN('Loan Inputs'!$B$17,C1281+E1281)+H1281)</f>
        <v/>
      </c>
      <c r="E1281" s="2" t="str">
        <f>IF(A1281="","",C1281*'Loan Inputs'!$B$15)</f>
        <v/>
      </c>
      <c r="F1281" s="2" t="str">
        <f t="shared" si="57"/>
        <v/>
      </c>
      <c r="G1281" s="2" t="str">
        <f t="shared" si="58"/>
        <v/>
      </c>
      <c r="H1281" s="2" t="str">
        <f>IF(A1281="","",MIN('Loan Inputs'!$B$18,MAX(0,C1281+E1281-'Loan Inputs'!$B$17)))</f>
        <v/>
      </c>
    </row>
    <row r="1282" spans="1:8" ht="22" customHeight="1">
      <c r="A1282" s="1" t="str">
        <f>IF(AND('Loan Inputs'!$B$12,1276&lt;=IF('Loan Inputs'!$B$12,'Loan Inputs'!$B$7,0)*'Loan Inputs'!$B$14+5*'Loan Inputs'!$B$14,ISNUMBER(G1281),G1281&gt;0),1276,"")</f>
        <v/>
      </c>
      <c r="B1282" s="4" t="str">
        <f>IF(A1282="","",IF('Loan Inputs'!$B$14=12,DATE(YEAR('Loan Inputs'!$B$8),MONTH('Loan Inputs'!$B$8)+A1282,DAY('Loan Inputs'!$B$8)),'Loan Inputs'!$B$8+A1282*IF('Loan Inputs'!$B$14=26,14,7)))</f>
        <v/>
      </c>
      <c r="C1282" s="2" t="str">
        <f t="shared" si="59"/>
        <v/>
      </c>
      <c r="D1282" s="2" t="str">
        <f>IF(A1282="","",MIN('Loan Inputs'!$B$17,C1282+E1282)+H1282)</f>
        <v/>
      </c>
      <c r="E1282" s="2" t="str">
        <f>IF(A1282="","",C1282*'Loan Inputs'!$B$15)</f>
        <v/>
      </c>
      <c r="F1282" s="2" t="str">
        <f t="shared" si="57"/>
        <v/>
      </c>
      <c r="G1282" s="2" t="str">
        <f t="shared" si="58"/>
        <v/>
      </c>
      <c r="H1282" s="2" t="str">
        <f>IF(A1282="","",MIN('Loan Inputs'!$B$18,MAX(0,C1282+E1282-'Loan Inputs'!$B$17)))</f>
        <v/>
      </c>
    </row>
    <row r="1283" spans="1:8" ht="22" customHeight="1">
      <c r="A1283" s="1" t="str">
        <f>IF(AND('Loan Inputs'!$B$12,1277&lt;=IF('Loan Inputs'!$B$12,'Loan Inputs'!$B$7,0)*'Loan Inputs'!$B$14+5*'Loan Inputs'!$B$14,ISNUMBER(G1282),G1282&gt;0),1277,"")</f>
        <v/>
      </c>
      <c r="B1283" s="4" t="str">
        <f>IF(A1283="","",IF('Loan Inputs'!$B$14=12,DATE(YEAR('Loan Inputs'!$B$8),MONTH('Loan Inputs'!$B$8)+A1283,DAY('Loan Inputs'!$B$8)),'Loan Inputs'!$B$8+A1283*IF('Loan Inputs'!$B$14=26,14,7)))</f>
        <v/>
      </c>
      <c r="C1283" s="2" t="str">
        <f t="shared" si="59"/>
        <v/>
      </c>
      <c r="D1283" s="2" t="str">
        <f>IF(A1283="","",MIN('Loan Inputs'!$B$17,C1283+E1283)+H1283)</f>
        <v/>
      </c>
      <c r="E1283" s="2" t="str">
        <f>IF(A1283="","",C1283*'Loan Inputs'!$B$15)</f>
        <v/>
      </c>
      <c r="F1283" s="2" t="str">
        <f t="shared" si="57"/>
        <v/>
      </c>
      <c r="G1283" s="2" t="str">
        <f t="shared" si="58"/>
        <v/>
      </c>
      <c r="H1283" s="2" t="str">
        <f>IF(A1283="","",MIN('Loan Inputs'!$B$18,MAX(0,C1283+E1283-'Loan Inputs'!$B$17)))</f>
        <v/>
      </c>
    </row>
    <row r="1284" spans="1:8" ht="22" customHeight="1">
      <c r="A1284" s="1" t="str">
        <f>IF(AND('Loan Inputs'!$B$12,1278&lt;=IF('Loan Inputs'!$B$12,'Loan Inputs'!$B$7,0)*'Loan Inputs'!$B$14+5*'Loan Inputs'!$B$14,ISNUMBER(G1283),G1283&gt;0),1278,"")</f>
        <v/>
      </c>
      <c r="B1284" s="4" t="str">
        <f>IF(A1284="","",IF('Loan Inputs'!$B$14=12,DATE(YEAR('Loan Inputs'!$B$8),MONTH('Loan Inputs'!$B$8)+A1284,DAY('Loan Inputs'!$B$8)),'Loan Inputs'!$B$8+A1284*IF('Loan Inputs'!$B$14=26,14,7)))</f>
        <v/>
      </c>
      <c r="C1284" s="2" t="str">
        <f t="shared" si="59"/>
        <v/>
      </c>
      <c r="D1284" s="2" t="str">
        <f>IF(A1284="","",MIN('Loan Inputs'!$B$17,C1284+E1284)+H1284)</f>
        <v/>
      </c>
      <c r="E1284" s="2" t="str">
        <f>IF(A1284="","",C1284*'Loan Inputs'!$B$15)</f>
        <v/>
      </c>
      <c r="F1284" s="2" t="str">
        <f t="shared" si="57"/>
        <v/>
      </c>
      <c r="G1284" s="2" t="str">
        <f t="shared" si="58"/>
        <v/>
      </c>
      <c r="H1284" s="2" t="str">
        <f>IF(A1284="","",MIN('Loan Inputs'!$B$18,MAX(0,C1284+E1284-'Loan Inputs'!$B$17)))</f>
        <v/>
      </c>
    </row>
    <row r="1285" spans="1:8" ht="22" customHeight="1">
      <c r="A1285" s="1" t="str">
        <f>IF(AND('Loan Inputs'!$B$12,1279&lt;=IF('Loan Inputs'!$B$12,'Loan Inputs'!$B$7,0)*'Loan Inputs'!$B$14+5*'Loan Inputs'!$B$14,ISNUMBER(G1284),G1284&gt;0),1279,"")</f>
        <v/>
      </c>
      <c r="B1285" s="4" t="str">
        <f>IF(A1285="","",IF('Loan Inputs'!$B$14=12,DATE(YEAR('Loan Inputs'!$B$8),MONTH('Loan Inputs'!$B$8)+A1285,DAY('Loan Inputs'!$B$8)),'Loan Inputs'!$B$8+A1285*IF('Loan Inputs'!$B$14=26,14,7)))</f>
        <v/>
      </c>
      <c r="C1285" s="2" t="str">
        <f t="shared" si="59"/>
        <v/>
      </c>
      <c r="D1285" s="2" t="str">
        <f>IF(A1285="","",MIN('Loan Inputs'!$B$17,C1285+E1285)+H1285)</f>
        <v/>
      </c>
      <c r="E1285" s="2" t="str">
        <f>IF(A1285="","",C1285*'Loan Inputs'!$B$15)</f>
        <v/>
      </c>
      <c r="F1285" s="2" t="str">
        <f t="shared" si="57"/>
        <v/>
      </c>
      <c r="G1285" s="2" t="str">
        <f t="shared" si="58"/>
        <v/>
      </c>
      <c r="H1285" s="2" t="str">
        <f>IF(A1285="","",MIN('Loan Inputs'!$B$18,MAX(0,C1285+E1285-'Loan Inputs'!$B$17)))</f>
        <v/>
      </c>
    </row>
    <row r="1286" spans="1:8" ht="22" customHeight="1">
      <c r="A1286" s="1" t="str">
        <f>IF(AND('Loan Inputs'!$B$12,1280&lt;=IF('Loan Inputs'!$B$12,'Loan Inputs'!$B$7,0)*'Loan Inputs'!$B$14+5*'Loan Inputs'!$B$14,ISNUMBER(G1285),G1285&gt;0),1280,"")</f>
        <v/>
      </c>
      <c r="B1286" s="4" t="str">
        <f>IF(A1286="","",IF('Loan Inputs'!$B$14=12,DATE(YEAR('Loan Inputs'!$B$8),MONTH('Loan Inputs'!$B$8)+A1286,DAY('Loan Inputs'!$B$8)),'Loan Inputs'!$B$8+A1286*IF('Loan Inputs'!$B$14=26,14,7)))</f>
        <v/>
      </c>
      <c r="C1286" s="2" t="str">
        <f t="shared" si="59"/>
        <v/>
      </c>
      <c r="D1286" s="2" t="str">
        <f>IF(A1286="","",MIN('Loan Inputs'!$B$17,C1286+E1286)+H1286)</f>
        <v/>
      </c>
      <c r="E1286" s="2" t="str">
        <f>IF(A1286="","",C1286*'Loan Inputs'!$B$15)</f>
        <v/>
      </c>
      <c r="F1286" s="2" t="str">
        <f t="shared" si="57"/>
        <v/>
      </c>
      <c r="G1286" s="2" t="str">
        <f t="shared" si="58"/>
        <v/>
      </c>
      <c r="H1286" s="2" t="str">
        <f>IF(A1286="","",MIN('Loan Inputs'!$B$18,MAX(0,C1286+E1286-'Loan Inputs'!$B$17)))</f>
        <v/>
      </c>
    </row>
    <row r="1287" spans="1:8" ht="22" customHeight="1">
      <c r="A1287" s="1" t="str">
        <f>IF(AND('Loan Inputs'!$B$12,1281&lt;=IF('Loan Inputs'!$B$12,'Loan Inputs'!$B$7,0)*'Loan Inputs'!$B$14+5*'Loan Inputs'!$B$14,ISNUMBER(G1286),G1286&gt;0),1281,"")</f>
        <v/>
      </c>
      <c r="B1287" s="4" t="str">
        <f>IF(A1287="","",IF('Loan Inputs'!$B$14=12,DATE(YEAR('Loan Inputs'!$B$8),MONTH('Loan Inputs'!$B$8)+A1287,DAY('Loan Inputs'!$B$8)),'Loan Inputs'!$B$8+A1287*IF('Loan Inputs'!$B$14=26,14,7)))</f>
        <v/>
      </c>
      <c r="C1287" s="2" t="str">
        <f t="shared" si="59"/>
        <v/>
      </c>
      <c r="D1287" s="2" t="str">
        <f>IF(A1287="","",MIN('Loan Inputs'!$B$17,C1287+E1287)+H1287)</f>
        <v/>
      </c>
      <c r="E1287" s="2" t="str">
        <f>IF(A1287="","",C1287*'Loan Inputs'!$B$15)</f>
        <v/>
      </c>
      <c r="F1287" s="2" t="str">
        <f t="shared" ref="F1287:F1350" si="60">IF(A1287="","",MIN(C1287,D1287-E1287))</f>
        <v/>
      </c>
      <c r="G1287" s="2" t="str">
        <f t="shared" ref="G1287:G1350" si="61">IF(A1287="","",IF(C1287-F1287&lt;0.0000001,0,MAX(0,C1287-F1287)))</f>
        <v/>
      </c>
      <c r="H1287" s="2" t="str">
        <f>IF(A1287="","",MIN('Loan Inputs'!$B$18,MAX(0,C1287+E1287-'Loan Inputs'!$B$17)))</f>
        <v/>
      </c>
    </row>
    <row r="1288" spans="1:8" ht="22" customHeight="1">
      <c r="A1288" s="1" t="str">
        <f>IF(AND('Loan Inputs'!$B$12,1282&lt;=IF('Loan Inputs'!$B$12,'Loan Inputs'!$B$7,0)*'Loan Inputs'!$B$14+5*'Loan Inputs'!$B$14,ISNUMBER(G1287),G1287&gt;0),1282,"")</f>
        <v/>
      </c>
      <c r="B1288" s="4" t="str">
        <f>IF(A1288="","",IF('Loan Inputs'!$B$14=12,DATE(YEAR('Loan Inputs'!$B$8),MONTH('Loan Inputs'!$B$8)+A1288,DAY('Loan Inputs'!$B$8)),'Loan Inputs'!$B$8+A1288*IF('Loan Inputs'!$B$14=26,14,7)))</f>
        <v/>
      </c>
      <c r="C1288" s="2" t="str">
        <f t="shared" ref="C1288:C1351" si="62">IF(A1288="","",G1287)</f>
        <v/>
      </c>
      <c r="D1288" s="2" t="str">
        <f>IF(A1288="","",MIN('Loan Inputs'!$B$17,C1288+E1288)+H1288)</f>
        <v/>
      </c>
      <c r="E1288" s="2" t="str">
        <f>IF(A1288="","",C1288*'Loan Inputs'!$B$15)</f>
        <v/>
      </c>
      <c r="F1288" s="2" t="str">
        <f t="shared" si="60"/>
        <v/>
      </c>
      <c r="G1288" s="2" t="str">
        <f t="shared" si="61"/>
        <v/>
      </c>
      <c r="H1288" s="2" t="str">
        <f>IF(A1288="","",MIN('Loan Inputs'!$B$18,MAX(0,C1288+E1288-'Loan Inputs'!$B$17)))</f>
        <v/>
      </c>
    </row>
    <row r="1289" spans="1:8" ht="22" customHeight="1">
      <c r="A1289" s="1" t="str">
        <f>IF(AND('Loan Inputs'!$B$12,1283&lt;=IF('Loan Inputs'!$B$12,'Loan Inputs'!$B$7,0)*'Loan Inputs'!$B$14+5*'Loan Inputs'!$B$14,ISNUMBER(G1288),G1288&gt;0),1283,"")</f>
        <v/>
      </c>
      <c r="B1289" s="4" t="str">
        <f>IF(A1289="","",IF('Loan Inputs'!$B$14=12,DATE(YEAR('Loan Inputs'!$B$8),MONTH('Loan Inputs'!$B$8)+A1289,DAY('Loan Inputs'!$B$8)),'Loan Inputs'!$B$8+A1289*IF('Loan Inputs'!$B$14=26,14,7)))</f>
        <v/>
      </c>
      <c r="C1289" s="2" t="str">
        <f t="shared" si="62"/>
        <v/>
      </c>
      <c r="D1289" s="2" t="str">
        <f>IF(A1289="","",MIN('Loan Inputs'!$B$17,C1289+E1289)+H1289)</f>
        <v/>
      </c>
      <c r="E1289" s="2" t="str">
        <f>IF(A1289="","",C1289*'Loan Inputs'!$B$15)</f>
        <v/>
      </c>
      <c r="F1289" s="2" t="str">
        <f t="shared" si="60"/>
        <v/>
      </c>
      <c r="G1289" s="2" t="str">
        <f t="shared" si="61"/>
        <v/>
      </c>
      <c r="H1289" s="2" t="str">
        <f>IF(A1289="","",MIN('Loan Inputs'!$B$18,MAX(0,C1289+E1289-'Loan Inputs'!$B$17)))</f>
        <v/>
      </c>
    </row>
    <row r="1290" spans="1:8" ht="22" customHeight="1">
      <c r="A1290" s="1" t="str">
        <f>IF(AND('Loan Inputs'!$B$12,1284&lt;=IF('Loan Inputs'!$B$12,'Loan Inputs'!$B$7,0)*'Loan Inputs'!$B$14+5*'Loan Inputs'!$B$14,ISNUMBER(G1289),G1289&gt;0),1284,"")</f>
        <v/>
      </c>
      <c r="B1290" s="4" t="str">
        <f>IF(A1290="","",IF('Loan Inputs'!$B$14=12,DATE(YEAR('Loan Inputs'!$B$8),MONTH('Loan Inputs'!$B$8)+A1290,DAY('Loan Inputs'!$B$8)),'Loan Inputs'!$B$8+A1290*IF('Loan Inputs'!$B$14=26,14,7)))</f>
        <v/>
      </c>
      <c r="C1290" s="2" t="str">
        <f t="shared" si="62"/>
        <v/>
      </c>
      <c r="D1290" s="2" t="str">
        <f>IF(A1290="","",MIN('Loan Inputs'!$B$17,C1290+E1290)+H1290)</f>
        <v/>
      </c>
      <c r="E1290" s="2" t="str">
        <f>IF(A1290="","",C1290*'Loan Inputs'!$B$15)</f>
        <v/>
      </c>
      <c r="F1290" s="2" t="str">
        <f t="shared" si="60"/>
        <v/>
      </c>
      <c r="G1290" s="2" t="str">
        <f t="shared" si="61"/>
        <v/>
      </c>
      <c r="H1290" s="2" t="str">
        <f>IF(A1290="","",MIN('Loan Inputs'!$B$18,MAX(0,C1290+E1290-'Loan Inputs'!$B$17)))</f>
        <v/>
      </c>
    </row>
    <row r="1291" spans="1:8" ht="22" customHeight="1">
      <c r="A1291" s="1" t="str">
        <f>IF(AND('Loan Inputs'!$B$12,1285&lt;=IF('Loan Inputs'!$B$12,'Loan Inputs'!$B$7,0)*'Loan Inputs'!$B$14+5*'Loan Inputs'!$B$14,ISNUMBER(G1290),G1290&gt;0),1285,"")</f>
        <v/>
      </c>
      <c r="B1291" s="4" t="str">
        <f>IF(A1291="","",IF('Loan Inputs'!$B$14=12,DATE(YEAR('Loan Inputs'!$B$8),MONTH('Loan Inputs'!$B$8)+A1291,DAY('Loan Inputs'!$B$8)),'Loan Inputs'!$B$8+A1291*IF('Loan Inputs'!$B$14=26,14,7)))</f>
        <v/>
      </c>
      <c r="C1291" s="2" t="str">
        <f t="shared" si="62"/>
        <v/>
      </c>
      <c r="D1291" s="2" t="str">
        <f>IF(A1291="","",MIN('Loan Inputs'!$B$17,C1291+E1291)+H1291)</f>
        <v/>
      </c>
      <c r="E1291" s="2" t="str">
        <f>IF(A1291="","",C1291*'Loan Inputs'!$B$15)</f>
        <v/>
      </c>
      <c r="F1291" s="2" t="str">
        <f t="shared" si="60"/>
        <v/>
      </c>
      <c r="G1291" s="2" t="str">
        <f t="shared" si="61"/>
        <v/>
      </c>
      <c r="H1291" s="2" t="str">
        <f>IF(A1291="","",MIN('Loan Inputs'!$B$18,MAX(0,C1291+E1291-'Loan Inputs'!$B$17)))</f>
        <v/>
      </c>
    </row>
    <row r="1292" spans="1:8" ht="22" customHeight="1">
      <c r="A1292" s="1" t="str">
        <f>IF(AND('Loan Inputs'!$B$12,1286&lt;=IF('Loan Inputs'!$B$12,'Loan Inputs'!$B$7,0)*'Loan Inputs'!$B$14+5*'Loan Inputs'!$B$14,ISNUMBER(G1291),G1291&gt;0),1286,"")</f>
        <v/>
      </c>
      <c r="B1292" s="4" t="str">
        <f>IF(A1292="","",IF('Loan Inputs'!$B$14=12,DATE(YEAR('Loan Inputs'!$B$8),MONTH('Loan Inputs'!$B$8)+A1292,DAY('Loan Inputs'!$B$8)),'Loan Inputs'!$B$8+A1292*IF('Loan Inputs'!$B$14=26,14,7)))</f>
        <v/>
      </c>
      <c r="C1292" s="2" t="str">
        <f t="shared" si="62"/>
        <v/>
      </c>
      <c r="D1292" s="2" t="str">
        <f>IF(A1292="","",MIN('Loan Inputs'!$B$17,C1292+E1292)+H1292)</f>
        <v/>
      </c>
      <c r="E1292" s="2" t="str">
        <f>IF(A1292="","",C1292*'Loan Inputs'!$B$15)</f>
        <v/>
      </c>
      <c r="F1292" s="2" t="str">
        <f t="shared" si="60"/>
        <v/>
      </c>
      <c r="G1292" s="2" t="str">
        <f t="shared" si="61"/>
        <v/>
      </c>
      <c r="H1292" s="2" t="str">
        <f>IF(A1292="","",MIN('Loan Inputs'!$B$18,MAX(0,C1292+E1292-'Loan Inputs'!$B$17)))</f>
        <v/>
      </c>
    </row>
    <row r="1293" spans="1:8" ht="22" customHeight="1">
      <c r="A1293" s="1" t="str">
        <f>IF(AND('Loan Inputs'!$B$12,1287&lt;=IF('Loan Inputs'!$B$12,'Loan Inputs'!$B$7,0)*'Loan Inputs'!$B$14+5*'Loan Inputs'!$B$14,ISNUMBER(G1292),G1292&gt;0),1287,"")</f>
        <v/>
      </c>
      <c r="B1293" s="4" t="str">
        <f>IF(A1293="","",IF('Loan Inputs'!$B$14=12,DATE(YEAR('Loan Inputs'!$B$8),MONTH('Loan Inputs'!$B$8)+A1293,DAY('Loan Inputs'!$B$8)),'Loan Inputs'!$B$8+A1293*IF('Loan Inputs'!$B$14=26,14,7)))</f>
        <v/>
      </c>
      <c r="C1293" s="2" t="str">
        <f t="shared" si="62"/>
        <v/>
      </c>
      <c r="D1293" s="2" t="str">
        <f>IF(A1293="","",MIN('Loan Inputs'!$B$17,C1293+E1293)+H1293)</f>
        <v/>
      </c>
      <c r="E1293" s="2" t="str">
        <f>IF(A1293="","",C1293*'Loan Inputs'!$B$15)</f>
        <v/>
      </c>
      <c r="F1293" s="2" t="str">
        <f t="shared" si="60"/>
        <v/>
      </c>
      <c r="G1293" s="2" t="str">
        <f t="shared" si="61"/>
        <v/>
      </c>
      <c r="H1293" s="2" t="str">
        <f>IF(A1293="","",MIN('Loan Inputs'!$B$18,MAX(0,C1293+E1293-'Loan Inputs'!$B$17)))</f>
        <v/>
      </c>
    </row>
    <row r="1294" spans="1:8" ht="22" customHeight="1">
      <c r="A1294" s="1" t="str">
        <f>IF(AND('Loan Inputs'!$B$12,1288&lt;=IF('Loan Inputs'!$B$12,'Loan Inputs'!$B$7,0)*'Loan Inputs'!$B$14+5*'Loan Inputs'!$B$14,ISNUMBER(G1293),G1293&gt;0),1288,"")</f>
        <v/>
      </c>
      <c r="B1294" s="4" t="str">
        <f>IF(A1294="","",IF('Loan Inputs'!$B$14=12,DATE(YEAR('Loan Inputs'!$B$8),MONTH('Loan Inputs'!$B$8)+A1294,DAY('Loan Inputs'!$B$8)),'Loan Inputs'!$B$8+A1294*IF('Loan Inputs'!$B$14=26,14,7)))</f>
        <v/>
      </c>
      <c r="C1294" s="2" t="str">
        <f t="shared" si="62"/>
        <v/>
      </c>
      <c r="D1294" s="2" t="str">
        <f>IF(A1294="","",MIN('Loan Inputs'!$B$17,C1294+E1294)+H1294)</f>
        <v/>
      </c>
      <c r="E1294" s="2" t="str">
        <f>IF(A1294="","",C1294*'Loan Inputs'!$B$15)</f>
        <v/>
      </c>
      <c r="F1294" s="2" t="str">
        <f t="shared" si="60"/>
        <v/>
      </c>
      <c r="G1294" s="2" t="str">
        <f t="shared" si="61"/>
        <v/>
      </c>
      <c r="H1294" s="2" t="str">
        <f>IF(A1294="","",MIN('Loan Inputs'!$B$18,MAX(0,C1294+E1294-'Loan Inputs'!$B$17)))</f>
        <v/>
      </c>
    </row>
    <row r="1295" spans="1:8" ht="22" customHeight="1">
      <c r="A1295" s="1" t="str">
        <f>IF(AND('Loan Inputs'!$B$12,1289&lt;=IF('Loan Inputs'!$B$12,'Loan Inputs'!$B$7,0)*'Loan Inputs'!$B$14+5*'Loan Inputs'!$B$14,ISNUMBER(G1294),G1294&gt;0),1289,"")</f>
        <v/>
      </c>
      <c r="B1295" s="4" t="str">
        <f>IF(A1295="","",IF('Loan Inputs'!$B$14=12,DATE(YEAR('Loan Inputs'!$B$8),MONTH('Loan Inputs'!$B$8)+A1295,DAY('Loan Inputs'!$B$8)),'Loan Inputs'!$B$8+A1295*IF('Loan Inputs'!$B$14=26,14,7)))</f>
        <v/>
      </c>
      <c r="C1295" s="2" t="str">
        <f t="shared" si="62"/>
        <v/>
      </c>
      <c r="D1295" s="2" t="str">
        <f>IF(A1295="","",MIN('Loan Inputs'!$B$17,C1295+E1295)+H1295)</f>
        <v/>
      </c>
      <c r="E1295" s="2" t="str">
        <f>IF(A1295="","",C1295*'Loan Inputs'!$B$15)</f>
        <v/>
      </c>
      <c r="F1295" s="2" t="str">
        <f t="shared" si="60"/>
        <v/>
      </c>
      <c r="G1295" s="2" t="str">
        <f t="shared" si="61"/>
        <v/>
      </c>
      <c r="H1295" s="2" t="str">
        <f>IF(A1295="","",MIN('Loan Inputs'!$B$18,MAX(0,C1295+E1295-'Loan Inputs'!$B$17)))</f>
        <v/>
      </c>
    </row>
    <row r="1296" spans="1:8" ht="22" customHeight="1">
      <c r="A1296" s="1" t="str">
        <f>IF(AND('Loan Inputs'!$B$12,1290&lt;=IF('Loan Inputs'!$B$12,'Loan Inputs'!$B$7,0)*'Loan Inputs'!$B$14+5*'Loan Inputs'!$B$14,ISNUMBER(G1295),G1295&gt;0),1290,"")</f>
        <v/>
      </c>
      <c r="B1296" s="4" t="str">
        <f>IF(A1296="","",IF('Loan Inputs'!$B$14=12,DATE(YEAR('Loan Inputs'!$B$8),MONTH('Loan Inputs'!$B$8)+A1296,DAY('Loan Inputs'!$B$8)),'Loan Inputs'!$B$8+A1296*IF('Loan Inputs'!$B$14=26,14,7)))</f>
        <v/>
      </c>
      <c r="C1296" s="2" t="str">
        <f t="shared" si="62"/>
        <v/>
      </c>
      <c r="D1296" s="2" t="str">
        <f>IF(A1296="","",MIN('Loan Inputs'!$B$17,C1296+E1296)+H1296)</f>
        <v/>
      </c>
      <c r="E1296" s="2" t="str">
        <f>IF(A1296="","",C1296*'Loan Inputs'!$B$15)</f>
        <v/>
      </c>
      <c r="F1296" s="2" t="str">
        <f t="shared" si="60"/>
        <v/>
      </c>
      <c r="G1296" s="2" t="str">
        <f t="shared" si="61"/>
        <v/>
      </c>
      <c r="H1296" s="2" t="str">
        <f>IF(A1296="","",MIN('Loan Inputs'!$B$18,MAX(0,C1296+E1296-'Loan Inputs'!$B$17)))</f>
        <v/>
      </c>
    </row>
    <row r="1297" spans="1:8" ht="22" customHeight="1">
      <c r="A1297" s="1" t="str">
        <f>IF(AND('Loan Inputs'!$B$12,1291&lt;=IF('Loan Inputs'!$B$12,'Loan Inputs'!$B$7,0)*'Loan Inputs'!$B$14+5*'Loan Inputs'!$B$14,ISNUMBER(G1296),G1296&gt;0),1291,"")</f>
        <v/>
      </c>
      <c r="B1297" s="4" t="str">
        <f>IF(A1297="","",IF('Loan Inputs'!$B$14=12,DATE(YEAR('Loan Inputs'!$B$8),MONTH('Loan Inputs'!$B$8)+A1297,DAY('Loan Inputs'!$B$8)),'Loan Inputs'!$B$8+A1297*IF('Loan Inputs'!$B$14=26,14,7)))</f>
        <v/>
      </c>
      <c r="C1297" s="2" t="str">
        <f t="shared" si="62"/>
        <v/>
      </c>
      <c r="D1297" s="2" t="str">
        <f>IF(A1297="","",MIN('Loan Inputs'!$B$17,C1297+E1297)+H1297)</f>
        <v/>
      </c>
      <c r="E1297" s="2" t="str">
        <f>IF(A1297="","",C1297*'Loan Inputs'!$B$15)</f>
        <v/>
      </c>
      <c r="F1297" s="2" t="str">
        <f t="shared" si="60"/>
        <v/>
      </c>
      <c r="G1297" s="2" t="str">
        <f t="shared" si="61"/>
        <v/>
      </c>
      <c r="H1297" s="2" t="str">
        <f>IF(A1297="","",MIN('Loan Inputs'!$B$18,MAX(0,C1297+E1297-'Loan Inputs'!$B$17)))</f>
        <v/>
      </c>
    </row>
    <row r="1298" spans="1:8" ht="22" customHeight="1">
      <c r="A1298" s="1" t="str">
        <f>IF(AND('Loan Inputs'!$B$12,1292&lt;=IF('Loan Inputs'!$B$12,'Loan Inputs'!$B$7,0)*'Loan Inputs'!$B$14+5*'Loan Inputs'!$B$14,ISNUMBER(G1297),G1297&gt;0),1292,"")</f>
        <v/>
      </c>
      <c r="B1298" s="4" t="str">
        <f>IF(A1298="","",IF('Loan Inputs'!$B$14=12,DATE(YEAR('Loan Inputs'!$B$8),MONTH('Loan Inputs'!$B$8)+A1298,DAY('Loan Inputs'!$B$8)),'Loan Inputs'!$B$8+A1298*IF('Loan Inputs'!$B$14=26,14,7)))</f>
        <v/>
      </c>
      <c r="C1298" s="2" t="str">
        <f t="shared" si="62"/>
        <v/>
      </c>
      <c r="D1298" s="2" t="str">
        <f>IF(A1298="","",MIN('Loan Inputs'!$B$17,C1298+E1298)+H1298)</f>
        <v/>
      </c>
      <c r="E1298" s="2" t="str">
        <f>IF(A1298="","",C1298*'Loan Inputs'!$B$15)</f>
        <v/>
      </c>
      <c r="F1298" s="2" t="str">
        <f t="shared" si="60"/>
        <v/>
      </c>
      <c r="G1298" s="2" t="str">
        <f t="shared" si="61"/>
        <v/>
      </c>
      <c r="H1298" s="2" t="str">
        <f>IF(A1298="","",MIN('Loan Inputs'!$B$18,MAX(0,C1298+E1298-'Loan Inputs'!$B$17)))</f>
        <v/>
      </c>
    </row>
    <row r="1299" spans="1:8" ht="22" customHeight="1">
      <c r="A1299" s="1" t="str">
        <f>IF(AND('Loan Inputs'!$B$12,1293&lt;=IF('Loan Inputs'!$B$12,'Loan Inputs'!$B$7,0)*'Loan Inputs'!$B$14+5*'Loan Inputs'!$B$14,ISNUMBER(G1298),G1298&gt;0),1293,"")</f>
        <v/>
      </c>
      <c r="B1299" s="4" t="str">
        <f>IF(A1299="","",IF('Loan Inputs'!$B$14=12,DATE(YEAR('Loan Inputs'!$B$8),MONTH('Loan Inputs'!$B$8)+A1299,DAY('Loan Inputs'!$B$8)),'Loan Inputs'!$B$8+A1299*IF('Loan Inputs'!$B$14=26,14,7)))</f>
        <v/>
      </c>
      <c r="C1299" s="2" t="str">
        <f t="shared" si="62"/>
        <v/>
      </c>
      <c r="D1299" s="2" t="str">
        <f>IF(A1299="","",MIN('Loan Inputs'!$B$17,C1299+E1299)+H1299)</f>
        <v/>
      </c>
      <c r="E1299" s="2" t="str">
        <f>IF(A1299="","",C1299*'Loan Inputs'!$B$15)</f>
        <v/>
      </c>
      <c r="F1299" s="2" t="str">
        <f t="shared" si="60"/>
        <v/>
      </c>
      <c r="G1299" s="2" t="str">
        <f t="shared" si="61"/>
        <v/>
      </c>
      <c r="H1299" s="2" t="str">
        <f>IF(A1299="","",MIN('Loan Inputs'!$B$18,MAX(0,C1299+E1299-'Loan Inputs'!$B$17)))</f>
        <v/>
      </c>
    </row>
    <row r="1300" spans="1:8" ht="22" customHeight="1">
      <c r="A1300" s="1" t="str">
        <f>IF(AND('Loan Inputs'!$B$12,1294&lt;=IF('Loan Inputs'!$B$12,'Loan Inputs'!$B$7,0)*'Loan Inputs'!$B$14+5*'Loan Inputs'!$B$14,ISNUMBER(G1299),G1299&gt;0),1294,"")</f>
        <v/>
      </c>
      <c r="B1300" s="4" t="str">
        <f>IF(A1300="","",IF('Loan Inputs'!$B$14=12,DATE(YEAR('Loan Inputs'!$B$8),MONTH('Loan Inputs'!$B$8)+A1300,DAY('Loan Inputs'!$B$8)),'Loan Inputs'!$B$8+A1300*IF('Loan Inputs'!$B$14=26,14,7)))</f>
        <v/>
      </c>
      <c r="C1300" s="2" t="str">
        <f t="shared" si="62"/>
        <v/>
      </c>
      <c r="D1300" s="2" t="str">
        <f>IF(A1300="","",MIN('Loan Inputs'!$B$17,C1300+E1300)+H1300)</f>
        <v/>
      </c>
      <c r="E1300" s="2" t="str">
        <f>IF(A1300="","",C1300*'Loan Inputs'!$B$15)</f>
        <v/>
      </c>
      <c r="F1300" s="2" t="str">
        <f t="shared" si="60"/>
        <v/>
      </c>
      <c r="G1300" s="2" t="str">
        <f t="shared" si="61"/>
        <v/>
      </c>
      <c r="H1300" s="2" t="str">
        <f>IF(A1300="","",MIN('Loan Inputs'!$B$18,MAX(0,C1300+E1300-'Loan Inputs'!$B$17)))</f>
        <v/>
      </c>
    </row>
    <row r="1301" spans="1:8" ht="22" customHeight="1">
      <c r="A1301" s="1" t="str">
        <f>IF(AND('Loan Inputs'!$B$12,1295&lt;=IF('Loan Inputs'!$B$12,'Loan Inputs'!$B$7,0)*'Loan Inputs'!$B$14+5*'Loan Inputs'!$B$14,ISNUMBER(G1300),G1300&gt;0),1295,"")</f>
        <v/>
      </c>
      <c r="B1301" s="4" t="str">
        <f>IF(A1301="","",IF('Loan Inputs'!$B$14=12,DATE(YEAR('Loan Inputs'!$B$8),MONTH('Loan Inputs'!$B$8)+A1301,DAY('Loan Inputs'!$B$8)),'Loan Inputs'!$B$8+A1301*IF('Loan Inputs'!$B$14=26,14,7)))</f>
        <v/>
      </c>
      <c r="C1301" s="2" t="str">
        <f t="shared" si="62"/>
        <v/>
      </c>
      <c r="D1301" s="2" t="str">
        <f>IF(A1301="","",MIN('Loan Inputs'!$B$17,C1301+E1301)+H1301)</f>
        <v/>
      </c>
      <c r="E1301" s="2" t="str">
        <f>IF(A1301="","",C1301*'Loan Inputs'!$B$15)</f>
        <v/>
      </c>
      <c r="F1301" s="2" t="str">
        <f t="shared" si="60"/>
        <v/>
      </c>
      <c r="G1301" s="2" t="str">
        <f t="shared" si="61"/>
        <v/>
      </c>
      <c r="H1301" s="2" t="str">
        <f>IF(A1301="","",MIN('Loan Inputs'!$B$18,MAX(0,C1301+E1301-'Loan Inputs'!$B$17)))</f>
        <v/>
      </c>
    </row>
    <row r="1302" spans="1:8" ht="22" customHeight="1">
      <c r="A1302" s="1" t="str">
        <f>IF(AND('Loan Inputs'!$B$12,1296&lt;=IF('Loan Inputs'!$B$12,'Loan Inputs'!$B$7,0)*'Loan Inputs'!$B$14+5*'Loan Inputs'!$B$14,ISNUMBER(G1301),G1301&gt;0),1296,"")</f>
        <v/>
      </c>
      <c r="B1302" s="4" t="str">
        <f>IF(A1302="","",IF('Loan Inputs'!$B$14=12,DATE(YEAR('Loan Inputs'!$B$8),MONTH('Loan Inputs'!$B$8)+A1302,DAY('Loan Inputs'!$B$8)),'Loan Inputs'!$B$8+A1302*IF('Loan Inputs'!$B$14=26,14,7)))</f>
        <v/>
      </c>
      <c r="C1302" s="2" t="str">
        <f t="shared" si="62"/>
        <v/>
      </c>
      <c r="D1302" s="2" t="str">
        <f>IF(A1302="","",MIN('Loan Inputs'!$B$17,C1302+E1302)+H1302)</f>
        <v/>
      </c>
      <c r="E1302" s="2" t="str">
        <f>IF(A1302="","",C1302*'Loan Inputs'!$B$15)</f>
        <v/>
      </c>
      <c r="F1302" s="2" t="str">
        <f t="shared" si="60"/>
        <v/>
      </c>
      <c r="G1302" s="2" t="str">
        <f t="shared" si="61"/>
        <v/>
      </c>
      <c r="H1302" s="2" t="str">
        <f>IF(A1302="","",MIN('Loan Inputs'!$B$18,MAX(0,C1302+E1302-'Loan Inputs'!$B$17)))</f>
        <v/>
      </c>
    </row>
    <row r="1303" spans="1:8" ht="22" customHeight="1">
      <c r="A1303" s="1" t="str">
        <f>IF(AND('Loan Inputs'!$B$12,1297&lt;=IF('Loan Inputs'!$B$12,'Loan Inputs'!$B$7,0)*'Loan Inputs'!$B$14+5*'Loan Inputs'!$B$14,ISNUMBER(G1302),G1302&gt;0),1297,"")</f>
        <v/>
      </c>
      <c r="B1303" s="4" t="str">
        <f>IF(A1303="","",IF('Loan Inputs'!$B$14=12,DATE(YEAR('Loan Inputs'!$B$8),MONTH('Loan Inputs'!$B$8)+A1303,DAY('Loan Inputs'!$B$8)),'Loan Inputs'!$B$8+A1303*IF('Loan Inputs'!$B$14=26,14,7)))</f>
        <v/>
      </c>
      <c r="C1303" s="2" t="str">
        <f t="shared" si="62"/>
        <v/>
      </c>
      <c r="D1303" s="2" t="str">
        <f>IF(A1303="","",MIN('Loan Inputs'!$B$17,C1303+E1303)+H1303)</f>
        <v/>
      </c>
      <c r="E1303" s="2" t="str">
        <f>IF(A1303="","",C1303*'Loan Inputs'!$B$15)</f>
        <v/>
      </c>
      <c r="F1303" s="2" t="str">
        <f t="shared" si="60"/>
        <v/>
      </c>
      <c r="G1303" s="2" t="str">
        <f t="shared" si="61"/>
        <v/>
      </c>
      <c r="H1303" s="2" t="str">
        <f>IF(A1303="","",MIN('Loan Inputs'!$B$18,MAX(0,C1303+E1303-'Loan Inputs'!$B$17)))</f>
        <v/>
      </c>
    </row>
    <row r="1304" spans="1:8" ht="22" customHeight="1">
      <c r="A1304" s="1" t="str">
        <f>IF(AND('Loan Inputs'!$B$12,1298&lt;=IF('Loan Inputs'!$B$12,'Loan Inputs'!$B$7,0)*'Loan Inputs'!$B$14+5*'Loan Inputs'!$B$14,ISNUMBER(G1303),G1303&gt;0),1298,"")</f>
        <v/>
      </c>
      <c r="B1304" s="4" t="str">
        <f>IF(A1304="","",IF('Loan Inputs'!$B$14=12,DATE(YEAR('Loan Inputs'!$B$8),MONTH('Loan Inputs'!$B$8)+A1304,DAY('Loan Inputs'!$B$8)),'Loan Inputs'!$B$8+A1304*IF('Loan Inputs'!$B$14=26,14,7)))</f>
        <v/>
      </c>
      <c r="C1304" s="2" t="str">
        <f t="shared" si="62"/>
        <v/>
      </c>
      <c r="D1304" s="2" t="str">
        <f>IF(A1304="","",MIN('Loan Inputs'!$B$17,C1304+E1304)+H1304)</f>
        <v/>
      </c>
      <c r="E1304" s="2" t="str">
        <f>IF(A1304="","",C1304*'Loan Inputs'!$B$15)</f>
        <v/>
      </c>
      <c r="F1304" s="2" t="str">
        <f t="shared" si="60"/>
        <v/>
      </c>
      <c r="G1304" s="2" t="str">
        <f t="shared" si="61"/>
        <v/>
      </c>
      <c r="H1304" s="2" t="str">
        <f>IF(A1304="","",MIN('Loan Inputs'!$B$18,MAX(0,C1304+E1304-'Loan Inputs'!$B$17)))</f>
        <v/>
      </c>
    </row>
    <row r="1305" spans="1:8" ht="22" customHeight="1">
      <c r="A1305" s="1" t="str">
        <f>IF(AND('Loan Inputs'!$B$12,1299&lt;=IF('Loan Inputs'!$B$12,'Loan Inputs'!$B$7,0)*'Loan Inputs'!$B$14+5*'Loan Inputs'!$B$14,ISNUMBER(G1304),G1304&gt;0),1299,"")</f>
        <v/>
      </c>
      <c r="B1305" s="4" t="str">
        <f>IF(A1305="","",IF('Loan Inputs'!$B$14=12,DATE(YEAR('Loan Inputs'!$B$8),MONTH('Loan Inputs'!$B$8)+A1305,DAY('Loan Inputs'!$B$8)),'Loan Inputs'!$B$8+A1305*IF('Loan Inputs'!$B$14=26,14,7)))</f>
        <v/>
      </c>
      <c r="C1305" s="2" t="str">
        <f t="shared" si="62"/>
        <v/>
      </c>
      <c r="D1305" s="2" t="str">
        <f>IF(A1305="","",MIN('Loan Inputs'!$B$17,C1305+E1305)+H1305)</f>
        <v/>
      </c>
      <c r="E1305" s="2" t="str">
        <f>IF(A1305="","",C1305*'Loan Inputs'!$B$15)</f>
        <v/>
      </c>
      <c r="F1305" s="2" t="str">
        <f t="shared" si="60"/>
        <v/>
      </c>
      <c r="G1305" s="2" t="str">
        <f t="shared" si="61"/>
        <v/>
      </c>
      <c r="H1305" s="2" t="str">
        <f>IF(A1305="","",MIN('Loan Inputs'!$B$18,MAX(0,C1305+E1305-'Loan Inputs'!$B$17)))</f>
        <v/>
      </c>
    </row>
    <row r="1306" spans="1:8" ht="22" customHeight="1">
      <c r="A1306" s="1" t="str">
        <f>IF(AND('Loan Inputs'!$B$12,1300&lt;=IF('Loan Inputs'!$B$12,'Loan Inputs'!$B$7,0)*'Loan Inputs'!$B$14+5*'Loan Inputs'!$B$14,ISNUMBER(G1305),G1305&gt;0),1300,"")</f>
        <v/>
      </c>
      <c r="B1306" s="4" t="str">
        <f>IF(A1306="","",IF('Loan Inputs'!$B$14=12,DATE(YEAR('Loan Inputs'!$B$8),MONTH('Loan Inputs'!$B$8)+A1306,DAY('Loan Inputs'!$B$8)),'Loan Inputs'!$B$8+A1306*IF('Loan Inputs'!$B$14=26,14,7)))</f>
        <v/>
      </c>
      <c r="C1306" s="2" t="str">
        <f t="shared" si="62"/>
        <v/>
      </c>
      <c r="D1306" s="2" t="str">
        <f>IF(A1306="","",MIN('Loan Inputs'!$B$17,C1306+E1306)+H1306)</f>
        <v/>
      </c>
      <c r="E1306" s="2" t="str">
        <f>IF(A1306="","",C1306*'Loan Inputs'!$B$15)</f>
        <v/>
      </c>
      <c r="F1306" s="2" t="str">
        <f t="shared" si="60"/>
        <v/>
      </c>
      <c r="G1306" s="2" t="str">
        <f t="shared" si="61"/>
        <v/>
      </c>
      <c r="H1306" s="2" t="str">
        <f>IF(A1306="","",MIN('Loan Inputs'!$B$18,MAX(0,C1306+E1306-'Loan Inputs'!$B$17)))</f>
        <v/>
      </c>
    </row>
    <row r="1307" spans="1:8" ht="22" customHeight="1">
      <c r="A1307" s="1" t="str">
        <f>IF(AND('Loan Inputs'!$B$12,1301&lt;=IF('Loan Inputs'!$B$12,'Loan Inputs'!$B$7,0)*'Loan Inputs'!$B$14+5*'Loan Inputs'!$B$14,ISNUMBER(G1306),G1306&gt;0),1301,"")</f>
        <v/>
      </c>
      <c r="B1307" s="4" t="str">
        <f>IF(A1307="","",IF('Loan Inputs'!$B$14=12,DATE(YEAR('Loan Inputs'!$B$8),MONTH('Loan Inputs'!$B$8)+A1307,DAY('Loan Inputs'!$B$8)),'Loan Inputs'!$B$8+A1307*IF('Loan Inputs'!$B$14=26,14,7)))</f>
        <v/>
      </c>
      <c r="C1307" s="2" t="str">
        <f t="shared" si="62"/>
        <v/>
      </c>
      <c r="D1307" s="2" t="str">
        <f>IF(A1307="","",MIN('Loan Inputs'!$B$17,C1307+E1307)+H1307)</f>
        <v/>
      </c>
      <c r="E1307" s="2" t="str">
        <f>IF(A1307="","",C1307*'Loan Inputs'!$B$15)</f>
        <v/>
      </c>
      <c r="F1307" s="2" t="str">
        <f t="shared" si="60"/>
        <v/>
      </c>
      <c r="G1307" s="2" t="str">
        <f t="shared" si="61"/>
        <v/>
      </c>
      <c r="H1307" s="2" t="str">
        <f>IF(A1307="","",MIN('Loan Inputs'!$B$18,MAX(0,C1307+E1307-'Loan Inputs'!$B$17)))</f>
        <v/>
      </c>
    </row>
    <row r="1308" spans="1:8" ht="22" customHeight="1">
      <c r="A1308" s="1" t="str">
        <f>IF(AND('Loan Inputs'!$B$12,1302&lt;=IF('Loan Inputs'!$B$12,'Loan Inputs'!$B$7,0)*'Loan Inputs'!$B$14+5*'Loan Inputs'!$B$14,ISNUMBER(G1307),G1307&gt;0),1302,"")</f>
        <v/>
      </c>
      <c r="B1308" s="4" t="str">
        <f>IF(A1308="","",IF('Loan Inputs'!$B$14=12,DATE(YEAR('Loan Inputs'!$B$8),MONTH('Loan Inputs'!$B$8)+A1308,DAY('Loan Inputs'!$B$8)),'Loan Inputs'!$B$8+A1308*IF('Loan Inputs'!$B$14=26,14,7)))</f>
        <v/>
      </c>
      <c r="C1308" s="2" t="str">
        <f t="shared" si="62"/>
        <v/>
      </c>
      <c r="D1308" s="2" t="str">
        <f>IF(A1308="","",MIN('Loan Inputs'!$B$17,C1308+E1308)+H1308)</f>
        <v/>
      </c>
      <c r="E1308" s="2" t="str">
        <f>IF(A1308="","",C1308*'Loan Inputs'!$B$15)</f>
        <v/>
      </c>
      <c r="F1308" s="2" t="str">
        <f t="shared" si="60"/>
        <v/>
      </c>
      <c r="G1308" s="2" t="str">
        <f t="shared" si="61"/>
        <v/>
      </c>
      <c r="H1308" s="2" t="str">
        <f>IF(A1308="","",MIN('Loan Inputs'!$B$18,MAX(0,C1308+E1308-'Loan Inputs'!$B$17)))</f>
        <v/>
      </c>
    </row>
    <row r="1309" spans="1:8" ht="22" customHeight="1">
      <c r="A1309" s="1" t="str">
        <f>IF(AND('Loan Inputs'!$B$12,1303&lt;=IF('Loan Inputs'!$B$12,'Loan Inputs'!$B$7,0)*'Loan Inputs'!$B$14+5*'Loan Inputs'!$B$14,ISNUMBER(G1308),G1308&gt;0),1303,"")</f>
        <v/>
      </c>
      <c r="B1309" s="4" t="str">
        <f>IF(A1309="","",IF('Loan Inputs'!$B$14=12,DATE(YEAR('Loan Inputs'!$B$8),MONTH('Loan Inputs'!$B$8)+A1309,DAY('Loan Inputs'!$B$8)),'Loan Inputs'!$B$8+A1309*IF('Loan Inputs'!$B$14=26,14,7)))</f>
        <v/>
      </c>
      <c r="C1309" s="2" t="str">
        <f t="shared" si="62"/>
        <v/>
      </c>
      <c r="D1309" s="2" t="str">
        <f>IF(A1309="","",MIN('Loan Inputs'!$B$17,C1309+E1309)+H1309)</f>
        <v/>
      </c>
      <c r="E1309" s="2" t="str">
        <f>IF(A1309="","",C1309*'Loan Inputs'!$B$15)</f>
        <v/>
      </c>
      <c r="F1309" s="2" t="str">
        <f t="shared" si="60"/>
        <v/>
      </c>
      <c r="G1309" s="2" t="str">
        <f t="shared" si="61"/>
        <v/>
      </c>
      <c r="H1309" s="2" t="str">
        <f>IF(A1309="","",MIN('Loan Inputs'!$B$18,MAX(0,C1309+E1309-'Loan Inputs'!$B$17)))</f>
        <v/>
      </c>
    </row>
    <row r="1310" spans="1:8" ht="22" customHeight="1">
      <c r="A1310" s="1" t="str">
        <f>IF(AND('Loan Inputs'!$B$12,1304&lt;=IF('Loan Inputs'!$B$12,'Loan Inputs'!$B$7,0)*'Loan Inputs'!$B$14+5*'Loan Inputs'!$B$14,ISNUMBER(G1309),G1309&gt;0),1304,"")</f>
        <v/>
      </c>
      <c r="B1310" s="4" t="str">
        <f>IF(A1310="","",IF('Loan Inputs'!$B$14=12,DATE(YEAR('Loan Inputs'!$B$8),MONTH('Loan Inputs'!$B$8)+A1310,DAY('Loan Inputs'!$B$8)),'Loan Inputs'!$B$8+A1310*IF('Loan Inputs'!$B$14=26,14,7)))</f>
        <v/>
      </c>
      <c r="C1310" s="2" t="str">
        <f t="shared" si="62"/>
        <v/>
      </c>
      <c r="D1310" s="2" t="str">
        <f>IF(A1310="","",MIN('Loan Inputs'!$B$17,C1310+E1310)+H1310)</f>
        <v/>
      </c>
      <c r="E1310" s="2" t="str">
        <f>IF(A1310="","",C1310*'Loan Inputs'!$B$15)</f>
        <v/>
      </c>
      <c r="F1310" s="2" t="str">
        <f t="shared" si="60"/>
        <v/>
      </c>
      <c r="G1310" s="2" t="str">
        <f t="shared" si="61"/>
        <v/>
      </c>
      <c r="H1310" s="2" t="str">
        <f>IF(A1310="","",MIN('Loan Inputs'!$B$18,MAX(0,C1310+E1310-'Loan Inputs'!$B$17)))</f>
        <v/>
      </c>
    </row>
    <row r="1311" spans="1:8" ht="22" customHeight="1">
      <c r="A1311" s="1" t="str">
        <f>IF(AND('Loan Inputs'!$B$12,1305&lt;=IF('Loan Inputs'!$B$12,'Loan Inputs'!$B$7,0)*'Loan Inputs'!$B$14+5*'Loan Inputs'!$B$14,ISNUMBER(G1310),G1310&gt;0),1305,"")</f>
        <v/>
      </c>
      <c r="B1311" s="4" t="str">
        <f>IF(A1311="","",IF('Loan Inputs'!$B$14=12,DATE(YEAR('Loan Inputs'!$B$8),MONTH('Loan Inputs'!$B$8)+A1311,DAY('Loan Inputs'!$B$8)),'Loan Inputs'!$B$8+A1311*IF('Loan Inputs'!$B$14=26,14,7)))</f>
        <v/>
      </c>
      <c r="C1311" s="2" t="str">
        <f t="shared" si="62"/>
        <v/>
      </c>
      <c r="D1311" s="2" t="str">
        <f>IF(A1311="","",MIN('Loan Inputs'!$B$17,C1311+E1311)+H1311)</f>
        <v/>
      </c>
      <c r="E1311" s="2" t="str">
        <f>IF(A1311="","",C1311*'Loan Inputs'!$B$15)</f>
        <v/>
      </c>
      <c r="F1311" s="2" t="str">
        <f t="shared" si="60"/>
        <v/>
      </c>
      <c r="G1311" s="2" t="str">
        <f t="shared" si="61"/>
        <v/>
      </c>
      <c r="H1311" s="2" t="str">
        <f>IF(A1311="","",MIN('Loan Inputs'!$B$18,MAX(0,C1311+E1311-'Loan Inputs'!$B$17)))</f>
        <v/>
      </c>
    </row>
    <row r="1312" spans="1:8" ht="22" customHeight="1">
      <c r="A1312" s="1" t="str">
        <f>IF(AND('Loan Inputs'!$B$12,1306&lt;=IF('Loan Inputs'!$B$12,'Loan Inputs'!$B$7,0)*'Loan Inputs'!$B$14+5*'Loan Inputs'!$B$14,ISNUMBER(G1311),G1311&gt;0),1306,"")</f>
        <v/>
      </c>
      <c r="B1312" s="4" t="str">
        <f>IF(A1312="","",IF('Loan Inputs'!$B$14=12,DATE(YEAR('Loan Inputs'!$B$8),MONTH('Loan Inputs'!$B$8)+A1312,DAY('Loan Inputs'!$B$8)),'Loan Inputs'!$B$8+A1312*IF('Loan Inputs'!$B$14=26,14,7)))</f>
        <v/>
      </c>
      <c r="C1312" s="2" t="str">
        <f t="shared" si="62"/>
        <v/>
      </c>
      <c r="D1312" s="2" t="str">
        <f>IF(A1312="","",MIN('Loan Inputs'!$B$17,C1312+E1312)+H1312)</f>
        <v/>
      </c>
      <c r="E1312" s="2" t="str">
        <f>IF(A1312="","",C1312*'Loan Inputs'!$B$15)</f>
        <v/>
      </c>
      <c r="F1312" s="2" t="str">
        <f t="shared" si="60"/>
        <v/>
      </c>
      <c r="G1312" s="2" t="str">
        <f t="shared" si="61"/>
        <v/>
      </c>
      <c r="H1312" s="2" t="str">
        <f>IF(A1312="","",MIN('Loan Inputs'!$B$18,MAX(0,C1312+E1312-'Loan Inputs'!$B$17)))</f>
        <v/>
      </c>
    </row>
    <row r="1313" spans="1:8" ht="22" customHeight="1">
      <c r="A1313" s="1" t="str">
        <f>IF(AND('Loan Inputs'!$B$12,1307&lt;=IF('Loan Inputs'!$B$12,'Loan Inputs'!$B$7,0)*'Loan Inputs'!$B$14+5*'Loan Inputs'!$B$14,ISNUMBER(G1312),G1312&gt;0),1307,"")</f>
        <v/>
      </c>
      <c r="B1313" s="4" t="str">
        <f>IF(A1313="","",IF('Loan Inputs'!$B$14=12,DATE(YEAR('Loan Inputs'!$B$8),MONTH('Loan Inputs'!$B$8)+A1313,DAY('Loan Inputs'!$B$8)),'Loan Inputs'!$B$8+A1313*IF('Loan Inputs'!$B$14=26,14,7)))</f>
        <v/>
      </c>
      <c r="C1313" s="2" t="str">
        <f t="shared" si="62"/>
        <v/>
      </c>
      <c r="D1313" s="2" t="str">
        <f>IF(A1313="","",MIN('Loan Inputs'!$B$17,C1313+E1313)+H1313)</f>
        <v/>
      </c>
      <c r="E1313" s="2" t="str">
        <f>IF(A1313="","",C1313*'Loan Inputs'!$B$15)</f>
        <v/>
      </c>
      <c r="F1313" s="2" t="str">
        <f t="shared" si="60"/>
        <v/>
      </c>
      <c r="G1313" s="2" t="str">
        <f t="shared" si="61"/>
        <v/>
      </c>
      <c r="H1313" s="2" t="str">
        <f>IF(A1313="","",MIN('Loan Inputs'!$B$18,MAX(0,C1313+E1313-'Loan Inputs'!$B$17)))</f>
        <v/>
      </c>
    </row>
    <row r="1314" spans="1:8" ht="22" customHeight="1">
      <c r="A1314" s="1" t="str">
        <f>IF(AND('Loan Inputs'!$B$12,1308&lt;=IF('Loan Inputs'!$B$12,'Loan Inputs'!$B$7,0)*'Loan Inputs'!$B$14+5*'Loan Inputs'!$B$14,ISNUMBER(G1313),G1313&gt;0),1308,"")</f>
        <v/>
      </c>
      <c r="B1314" s="4" t="str">
        <f>IF(A1314="","",IF('Loan Inputs'!$B$14=12,DATE(YEAR('Loan Inputs'!$B$8),MONTH('Loan Inputs'!$B$8)+A1314,DAY('Loan Inputs'!$B$8)),'Loan Inputs'!$B$8+A1314*IF('Loan Inputs'!$B$14=26,14,7)))</f>
        <v/>
      </c>
      <c r="C1314" s="2" t="str">
        <f t="shared" si="62"/>
        <v/>
      </c>
      <c r="D1314" s="2" t="str">
        <f>IF(A1314="","",MIN('Loan Inputs'!$B$17,C1314+E1314)+H1314)</f>
        <v/>
      </c>
      <c r="E1314" s="2" t="str">
        <f>IF(A1314="","",C1314*'Loan Inputs'!$B$15)</f>
        <v/>
      </c>
      <c r="F1314" s="2" t="str">
        <f t="shared" si="60"/>
        <v/>
      </c>
      <c r="G1314" s="2" t="str">
        <f t="shared" si="61"/>
        <v/>
      </c>
      <c r="H1314" s="2" t="str">
        <f>IF(A1314="","",MIN('Loan Inputs'!$B$18,MAX(0,C1314+E1314-'Loan Inputs'!$B$17)))</f>
        <v/>
      </c>
    </row>
    <row r="1315" spans="1:8" ht="22" customHeight="1">
      <c r="A1315" s="1" t="str">
        <f>IF(AND('Loan Inputs'!$B$12,1309&lt;=IF('Loan Inputs'!$B$12,'Loan Inputs'!$B$7,0)*'Loan Inputs'!$B$14+5*'Loan Inputs'!$B$14,ISNUMBER(G1314),G1314&gt;0),1309,"")</f>
        <v/>
      </c>
      <c r="B1315" s="4" t="str">
        <f>IF(A1315="","",IF('Loan Inputs'!$B$14=12,DATE(YEAR('Loan Inputs'!$B$8),MONTH('Loan Inputs'!$B$8)+A1315,DAY('Loan Inputs'!$B$8)),'Loan Inputs'!$B$8+A1315*IF('Loan Inputs'!$B$14=26,14,7)))</f>
        <v/>
      </c>
      <c r="C1315" s="2" t="str">
        <f t="shared" si="62"/>
        <v/>
      </c>
      <c r="D1315" s="2" t="str">
        <f>IF(A1315="","",MIN('Loan Inputs'!$B$17,C1315+E1315)+H1315)</f>
        <v/>
      </c>
      <c r="E1315" s="2" t="str">
        <f>IF(A1315="","",C1315*'Loan Inputs'!$B$15)</f>
        <v/>
      </c>
      <c r="F1315" s="2" t="str">
        <f t="shared" si="60"/>
        <v/>
      </c>
      <c r="G1315" s="2" t="str">
        <f t="shared" si="61"/>
        <v/>
      </c>
      <c r="H1315" s="2" t="str">
        <f>IF(A1315="","",MIN('Loan Inputs'!$B$18,MAX(0,C1315+E1315-'Loan Inputs'!$B$17)))</f>
        <v/>
      </c>
    </row>
    <row r="1316" spans="1:8" ht="22" customHeight="1">
      <c r="A1316" s="1" t="str">
        <f>IF(AND('Loan Inputs'!$B$12,1310&lt;=IF('Loan Inputs'!$B$12,'Loan Inputs'!$B$7,0)*'Loan Inputs'!$B$14+5*'Loan Inputs'!$B$14,ISNUMBER(G1315),G1315&gt;0),1310,"")</f>
        <v/>
      </c>
      <c r="B1316" s="4" t="str">
        <f>IF(A1316="","",IF('Loan Inputs'!$B$14=12,DATE(YEAR('Loan Inputs'!$B$8),MONTH('Loan Inputs'!$B$8)+A1316,DAY('Loan Inputs'!$B$8)),'Loan Inputs'!$B$8+A1316*IF('Loan Inputs'!$B$14=26,14,7)))</f>
        <v/>
      </c>
      <c r="C1316" s="2" t="str">
        <f t="shared" si="62"/>
        <v/>
      </c>
      <c r="D1316" s="2" t="str">
        <f>IF(A1316="","",MIN('Loan Inputs'!$B$17,C1316+E1316)+H1316)</f>
        <v/>
      </c>
      <c r="E1316" s="2" t="str">
        <f>IF(A1316="","",C1316*'Loan Inputs'!$B$15)</f>
        <v/>
      </c>
      <c r="F1316" s="2" t="str">
        <f t="shared" si="60"/>
        <v/>
      </c>
      <c r="G1316" s="2" t="str">
        <f t="shared" si="61"/>
        <v/>
      </c>
      <c r="H1316" s="2" t="str">
        <f>IF(A1316="","",MIN('Loan Inputs'!$B$18,MAX(0,C1316+E1316-'Loan Inputs'!$B$17)))</f>
        <v/>
      </c>
    </row>
    <row r="1317" spans="1:8" ht="22" customHeight="1">
      <c r="A1317" s="1" t="str">
        <f>IF(AND('Loan Inputs'!$B$12,1311&lt;=IF('Loan Inputs'!$B$12,'Loan Inputs'!$B$7,0)*'Loan Inputs'!$B$14+5*'Loan Inputs'!$B$14,ISNUMBER(G1316),G1316&gt;0),1311,"")</f>
        <v/>
      </c>
      <c r="B1317" s="4" t="str">
        <f>IF(A1317="","",IF('Loan Inputs'!$B$14=12,DATE(YEAR('Loan Inputs'!$B$8),MONTH('Loan Inputs'!$B$8)+A1317,DAY('Loan Inputs'!$B$8)),'Loan Inputs'!$B$8+A1317*IF('Loan Inputs'!$B$14=26,14,7)))</f>
        <v/>
      </c>
      <c r="C1317" s="2" t="str">
        <f t="shared" si="62"/>
        <v/>
      </c>
      <c r="D1317" s="2" t="str">
        <f>IF(A1317="","",MIN('Loan Inputs'!$B$17,C1317+E1317)+H1317)</f>
        <v/>
      </c>
      <c r="E1317" s="2" t="str">
        <f>IF(A1317="","",C1317*'Loan Inputs'!$B$15)</f>
        <v/>
      </c>
      <c r="F1317" s="2" t="str">
        <f t="shared" si="60"/>
        <v/>
      </c>
      <c r="G1317" s="2" t="str">
        <f t="shared" si="61"/>
        <v/>
      </c>
      <c r="H1317" s="2" t="str">
        <f>IF(A1317="","",MIN('Loan Inputs'!$B$18,MAX(0,C1317+E1317-'Loan Inputs'!$B$17)))</f>
        <v/>
      </c>
    </row>
    <row r="1318" spans="1:8" ht="22" customHeight="1">
      <c r="A1318" s="1" t="str">
        <f>IF(AND('Loan Inputs'!$B$12,1312&lt;=IF('Loan Inputs'!$B$12,'Loan Inputs'!$B$7,0)*'Loan Inputs'!$B$14+5*'Loan Inputs'!$B$14,ISNUMBER(G1317),G1317&gt;0),1312,"")</f>
        <v/>
      </c>
      <c r="B1318" s="4" t="str">
        <f>IF(A1318="","",IF('Loan Inputs'!$B$14=12,DATE(YEAR('Loan Inputs'!$B$8),MONTH('Loan Inputs'!$B$8)+A1318,DAY('Loan Inputs'!$B$8)),'Loan Inputs'!$B$8+A1318*IF('Loan Inputs'!$B$14=26,14,7)))</f>
        <v/>
      </c>
      <c r="C1318" s="2" t="str">
        <f t="shared" si="62"/>
        <v/>
      </c>
      <c r="D1318" s="2" t="str">
        <f>IF(A1318="","",MIN('Loan Inputs'!$B$17,C1318+E1318)+H1318)</f>
        <v/>
      </c>
      <c r="E1318" s="2" t="str">
        <f>IF(A1318="","",C1318*'Loan Inputs'!$B$15)</f>
        <v/>
      </c>
      <c r="F1318" s="2" t="str">
        <f t="shared" si="60"/>
        <v/>
      </c>
      <c r="G1318" s="2" t="str">
        <f t="shared" si="61"/>
        <v/>
      </c>
      <c r="H1318" s="2" t="str">
        <f>IF(A1318="","",MIN('Loan Inputs'!$B$18,MAX(0,C1318+E1318-'Loan Inputs'!$B$17)))</f>
        <v/>
      </c>
    </row>
    <row r="1319" spans="1:8" ht="22" customHeight="1">
      <c r="A1319" s="1" t="str">
        <f>IF(AND('Loan Inputs'!$B$12,1313&lt;=IF('Loan Inputs'!$B$12,'Loan Inputs'!$B$7,0)*'Loan Inputs'!$B$14+5*'Loan Inputs'!$B$14,ISNUMBER(G1318),G1318&gt;0),1313,"")</f>
        <v/>
      </c>
      <c r="B1319" s="4" t="str">
        <f>IF(A1319="","",IF('Loan Inputs'!$B$14=12,DATE(YEAR('Loan Inputs'!$B$8),MONTH('Loan Inputs'!$B$8)+A1319,DAY('Loan Inputs'!$B$8)),'Loan Inputs'!$B$8+A1319*IF('Loan Inputs'!$B$14=26,14,7)))</f>
        <v/>
      </c>
      <c r="C1319" s="2" t="str">
        <f t="shared" si="62"/>
        <v/>
      </c>
      <c r="D1319" s="2" t="str">
        <f>IF(A1319="","",MIN('Loan Inputs'!$B$17,C1319+E1319)+H1319)</f>
        <v/>
      </c>
      <c r="E1319" s="2" t="str">
        <f>IF(A1319="","",C1319*'Loan Inputs'!$B$15)</f>
        <v/>
      </c>
      <c r="F1319" s="2" t="str">
        <f t="shared" si="60"/>
        <v/>
      </c>
      <c r="G1319" s="2" t="str">
        <f t="shared" si="61"/>
        <v/>
      </c>
      <c r="H1319" s="2" t="str">
        <f>IF(A1319="","",MIN('Loan Inputs'!$B$18,MAX(0,C1319+E1319-'Loan Inputs'!$B$17)))</f>
        <v/>
      </c>
    </row>
    <row r="1320" spans="1:8" ht="22" customHeight="1">
      <c r="A1320" s="1" t="str">
        <f>IF(AND('Loan Inputs'!$B$12,1314&lt;=IF('Loan Inputs'!$B$12,'Loan Inputs'!$B$7,0)*'Loan Inputs'!$B$14+5*'Loan Inputs'!$B$14,ISNUMBER(G1319),G1319&gt;0),1314,"")</f>
        <v/>
      </c>
      <c r="B1320" s="4" t="str">
        <f>IF(A1320="","",IF('Loan Inputs'!$B$14=12,DATE(YEAR('Loan Inputs'!$B$8),MONTH('Loan Inputs'!$B$8)+A1320,DAY('Loan Inputs'!$B$8)),'Loan Inputs'!$B$8+A1320*IF('Loan Inputs'!$B$14=26,14,7)))</f>
        <v/>
      </c>
      <c r="C1320" s="2" t="str">
        <f t="shared" si="62"/>
        <v/>
      </c>
      <c r="D1320" s="2" t="str">
        <f>IF(A1320="","",MIN('Loan Inputs'!$B$17,C1320+E1320)+H1320)</f>
        <v/>
      </c>
      <c r="E1320" s="2" t="str">
        <f>IF(A1320="","",C1320*'Loan Inputs'!$B$15)</f>
        <v/>
      </c>
      <c r="F1320" s="2" t="str">
        <f t="shared" si="60"/>
        <v/>
      </c>
      <c r="G1320" s="2" t="str">
        <f t="shared" si="61"/>
        <v/>
      </c>
      <c r="H1320" s="2" t="str">
        <f>IF(A1320="","",MIN('Loan Inputs'!$B$18,MAX(0,C1320+E1320-'Loan Inputs'!$B$17)))</f>
        <v/>
      </c>
    </row>
    <row r="1321" spans="1:8" ht="22" customHeight="1">
      <c r="A1321" s="1" t="str">
        <f>IF(AND('Loan Inputs'!$B$12,1315&lt;=IF('Loan Inputs'!$B$12,'Loan Inputs'!$B$7,0)*'Loan Inputs'!$B$14+5*'Loan Inputs'!$B$14,ISNUMBER(G1320),G1320&gt;0),1315,"")</f>
        <v/>
      </c>
      <c r="B1321" s="4" t="str">
        <f>IF(A1321="","",IF('Loan Inputs'!$B$14=12,DATE(YEAR('Loan Inputs'!$B$8),MONTH('Loan Inputs'!$B$8)+A1321,DAY('Loan Inputs'!$B$8)),'Loan Inputs'!$B$8+A1321*IF('Loan Inputs'!$B$14=26,14,7)))</f>
        <v/>
      </c>
      <c r="C1321" s="2" t="str">
        <f t="shared" si="62"/>
        <v/>
      </c>
      <c r="D1321" s="2" t="str">
        <f>IF(A1321="","",MIN('Loan Inputs'!$B$17,C1321+E1321)+H1321)</f>
        <v/>
      </c>
      <c r="E1321" s="2" t="str">
        <f>IF(A1321="","",C1321*'Loan Inputs'!$B$15)</f>
        <v/>
      </c>
      <c r="F1321" s="2" t="str">
        <f t="shared" si="60"/>
        <v/>
      </c>
      <c r="G1321" s="2" t="str">
        <f t="shared" si="61"/>
        <v/>
      </c>
      <c r="H1321" s="2" t="str">
        <f>IF(A1321="","",MIN('Loan Inputs'!$B$18,MAX(0,C1321+E1321-'Loan Inputs'!$B$17)))</f>
        <v/>
      </c>
    </row>
    <row r="1322" spans="1:8" ht="22" customHeight="1">
      <c r="A1322" s="1" t="str">
        <f>IF(AND('Loan Inputs'!$B$12,1316&lt;=IF('Loan Inputs'!$B$12,'Loan Inputs'!$B$7,0)*'Loan Inputs'!$B$14+5*'Loan Inputs'!$B$14,ISNUMBER(G1321),G1321&gt;0),1316,"")</f>
        <v/>
      </c>
      <c r="B1322" s="4" t="str">
        <f>IF(A1322="","",IF('Loan Inputs'!$B$14=12,DATE(YEAR('Loan Inputs'!$B$8),MONTH('Loan Inputs'!$B$8)+A1322,DAY('Loan Inputs'!$B$8)),'Loan Inputs'!$B$8+A1322*IF('Loan Inputs'!$B$14=26,14,7)))</f>
        <v/>
      </c>
      <c r="C1322" s="2" t="str">
        <f t="shared" si="62"/>
        <v/>
      </c>
      <c r="D1322" s="2" t="str">
        <f>IF(A1322="","",MIN('Loan Inputs'!$B$17,C1322+E1322)+H1322)</f>
        <v/>
      </c>
      <c r="E1322" s="2" t="str">
        <f>IF(A1322="","",C1322*'Loan Inputs'!$B$15)</f>
        <v/>
      </c>
      <c r="F1322" s="2" t="str">
        <f t="shared" si="60"/>
        <v/>
      </c>
      <c r="G1322" s="2" t="str">
        <f t="shared" si="61"/>
        <v/>
      </c>
      <c r="H1322" s="2" t="str">
        <f>IF(A1322="","",MIN('Loan Inputs'!$B$18,MAX(0,C1322+E1322-'Loan Inputs'!$B$17)))</f>
        <v/>
      </c>
    </row>
    <row r="1323" spans="1:8" ht="22" customHeight="1">
      <c r="A1323" s="1" t="str">
        <f>IF(AND('Loan Inputs'!$B$12,1317&lt;=IF('Loan Inputs'!$B$12,'Loan Inputs'!$B$7,0)*'Loan Inputs'!$B$14+5*'Loan Inputs'!$B$14,ISNUMBER(G1322),G1322&gt;0),1317,"")</f>
        <v/>
      </c>
      <c r="B1323" s="4" t="str">
        <f>IF(A1323="","",IF('Loan Inputs'!$B$14=12,DATE(YEAR('Loan Inputs'!$B$8),MONTH('Loan Inputs'!$B$8)+A1323,DAY('Loan Inputs'!$B$8)),'Loan Inputs'!$B$8+A1323*IF('Loan Inputs'!$B$14=26,14,7)))</f>
        <v/>
      </c>
      <c r="C1323" s="2" t="str">
        <f t="shared" si="62"/>
        <v/>
      </c>
      <c r="D1323" s="2" t="str">
        <f>IF(A1323="","",MIN('Loan Inputs'!$B$17,C1323+E1323)+H1323)</f>
        <v/>
      </c>
      <c r="E1323" s="2" t="str">
        <f>IF(A1323="","",C1323*'Loan Inputs'!$B$15)</f>
        <v/>
      </c>
      <c r="F1323" s="2" t="str">
        <f t="shared" si="60"/>
        <v/>
      </c>
      <c r="G1323" s="2" t="str">
        <f t="shared" si="61"/>
        <v/>
      </c>
      <c r="H1323" s="2" t="str">
        <f>IF(A1323="","",MIN('Loan Inputs'!$B$18,MAX(0,C1323+E1323-'Loan Inputs'!$B$17)))</f>
        <v/>
      </c>
    </row>
    <row r="1324" spans="1:8" ht="22" customHeight="1">
      <c r="A1324" s="1" t="str">
        <f>IF(AND('Loan Inputs'!$B$12,1318&lt;=IF('Loan Inputs'!$B$12,'Loan Inputs'!$B$7,0)*'Loan Inputs'!$B$14+5*'Loan Inputs'!$B$14,ISNUMBER(G1323),G1323&gt;0),1318,"")</f>
        <v/>
      </c>
      <c r="B1324" s="4" t="str">
        <f>IF(A1324="","",IF('Loan Inputs'!$B$14=12,DATE(YEAR('Loan Inputs'!$B$8),MONTH('Loan Inputs'!$B$8)+A1324,DAY('Loan Inputs'!$B$8)),'Loan Inputs'!$B$8+A1324*IF('Loan Inputs'!$B$14=26,14,7)))</f>
        <v/>
      </c>
      <c r="C1324" s="2" t="str">
        <f t="shared" si="62"/>
        <v/>
      </c>
      <c r="D1324" s="2" t="str">
        <f>IF(A1324="","",MIN('Loan Inputs'!$B$17,C1324+E1324)+H1324)</f>
        <v/>
      </c>
      <c r="E1324" s="2" t="str">
        <f>IF(A1324="","",C1324*'Loan Inputs'!$B$15)</f>
        <v/>
      </c>
      <c r="F1324" s="2" t="str">
        <f t="shared" si="60"/>
        <v/>
      </c>
      <c r="G1324" s="2" t="str">
        <f t="shared" si="61"/>
        <v/>
      </c>
      <c r="H1324" s="2" t="str">
        <f>IF(A1324="","",MIN('Loan Inputs'!$B$18,MAX(0,C1324+E1324-'Loan Inputs'!$B$17)))</f>
        <v/>
      </c>
    </row>
    <row r="1325" spans="1:8" ht="22" customHeight="1">
      <c r="A1325" s="1" t="str">
        <f>IF(AND('Loan Inputs'!$B$12,1319&lt;=IF('Loan Inputs'!$B$12,'Loan Inputs'!$B$7,0)*'Loan Inputs'!$B$14+5*'Loan Inputs'!$B$14,ISNUMBER(G1324),G1324&gt;0),1319,"")</f>
        <v/>
      </c>
      <c r="B1325" s="4" t="str">
        <f>IF(A1325="","",IF('Loan Inputs'!$B$14=12,DATE(YEAR('Loan Inputs'!$B$8),MONTH('Loan Inputs'!$B$8)+A1325,DAY('Loan Inputs'!$B$8)),'Loan Inputs'!$B$8+A1325*IF('Loan Inputs'!$B$14=26,14,7)))</f>
        <v/>
      </c>
      <c r="C1325" s="2" t="str">
        <f t="shared" si="62"/>
        <v/>
      </c>
      <c r="D1325" s="2" t="str">
        <f>IF(A1325="","",MIN('Loan Inputs'!$B$17,C1325+E1325)+H1325)</f>
        <v/>
      </c>
      <c r="E1325" s="2" t="str">
        <f>IF(A1325="","",C1325*'Loan Inputs'!$B$15)</f>
        <v/>
      </c>
      <c r="F1325" s="2" t="str">
        <f t="shared" si="60"/>
        <v/>
      </c>
      <c r="G1325" s="2" t="str">
        <f t="shared" si="61"/>
        <v/>
      </c>
      <c r="H1325" s="2" t="str">
        <f>IF(A1325="","",MIN('Loan Inputs'!$B$18,MAX(0,C1325+E1325-'Loan Inputs'!$B$17)))</f>
        <v/>
      </c>
    </row>
    <row r="1326" spans="1:8" ht="22" customHeight="1">
      <c r="A1326" s="1" t="str">
        <f>IF(AND('Loan Inputs'!$B$12,1320&lt;=IF('Loan Inputs'!$B$12,'Loan Inputs'!$B$7,0)*'Loan Inputs'!$B$14+5*'Loan Inputs'!$B$14,ISNUMBER(G1325),G1325&gt;0),1320,"")</f>
        <v/>
      </c>
      <c r="B1326" s="4" t="str">
        <f>IF(A1326="","",IF('Loan Inputs'!$B$14=12,DATE(YEAR('Loan Inputs'!$B$8),MONTH('Loan Inputs'!$B$8)+A1326,DAY('Loan Inputs'!$B$8)),'Loan Inputs'!$B$8+A1326*IF('Loan Inputs'!$B$14=26,14,7)))</f>
        <v/>
      </c>
      <c r="C1326" s="2" t="str">
        <f t="shared" si="62"/>
        <v/>
      </c>
      <c r="D1326" s="2" t="str">
        <f>IF(A1326="","",MIN('Loan Inputs'!$B$17,C1326+E1326)+H1326)</f>
        <v/>
      </c>
      <c r="E1326" s="2" t="str">
        <f>IF(A1326="","",C1326*'Loan Inputs'!$B$15)</f>
        <v/>
      </c>
      <c r="F1326" s="2" t="str">
        <f t="shared" si="60"/>
        <v/>
      </c>
      <c r="G1326" s="2" t="str">
        <f t="shared" si="61"/>
        <v/>
      </c>
      <c r="H1326" s="2" t="str">
        <f>IF(A1326="","",MIN('Loan Inputs'!$B$18,MAX(0,C1326+E1326-'Loan Inputs'!$B$17)))</f>
        <v/>
      </c>
    </row>
    <row r="1327" spans="1:8" ht="22" customHeight="1">
      <c r="A1327" s="1" t="str">
        <f>IF(AND('Loan Inputs'!$B$12,1321&lt;=IF('Loan Inputs'!$B$12,'Loan Inputs'!$B$7,0)*'Loan Inputs'!$B$14+5*'Loan Inputs'!$B$14,ISNUMBER(G1326),G1326&gt;0),1321,"")</f>
        <v/>
      </c>
      <c r="B1327" s="4" t="str">
        <f>IF(A1327="","",IF('Loan Inputs'!$B$14=12,DATE(YEAR('Loan Inputs'!$B$8),MONTH('Loan Inputs'!$B$8)+A1327,DAY('Loan Inputs'!$B$8)),'Loan Inputs'!$B$8+A1327*IF('Loan Inputs'!$B$14=26,14,7)))</f>
        <v/>
      </c>
      <c r="C1327" s="2" t="str">
        <f t="shared" si="62"/>
        <v/>
      </c>
      <c r="D1327" s="2" t="str">
        <f>IF(A1327="","",MIN('Loan Inputs'!$B$17,C1327+E1327)+H1327)</f>
        <v/>
      </c>
      <c r="E1327" s="2" t="str">
        <f>IF(A1327="","",C1327*'Loan Inputs'!$B$15)</f>
        <v/>
      </c>
      <c r="F1327" s="2" t="str">
        <f t="shared" si="60"/>
        <v/>
      </c>
      <c r="G1327" s="2" t="str">
        <f t="shared" si="61"/>
        <v/>
      </c>
      <c r="H1327" s="2" t="str">
        <f>IF(A1327="","",MIN('Loan Inputs'!$B$18,MAX(0,C1327+E1327-'Loan Inputs'!$B$17)))</f>
        <v/>
      </c>
    </row>
    <row r="1328" spans="1:8" ht="22" customHeight="1">
      <c r="A1328" s="1" t="str">
        <f>IF(AND('Loan Inputs'!$B$12,1322&lt;=IF('Loan Inputs'!$B$12,'Loan Inputs'!$B$7,0)*'Loan Inputs'!$B$14+5*'Loan Inputs'!$B$14,ISNUMBER(G1327),G1327&gt;0),1322,"")</f>
        <v/>
      </c>
      <c r="B1328" s="4" t="str">
        <f>IF(A1328="","",IF('Loan Inputs'!$B$14=12,DATE(YEAR('Loan Inputs'!$B$8),MONTH('Loan Inputs'!$B$8)+A1328,DAY('Loan Inputs'!$B$8)),'Loan Inputs'!$B$8+A1328*IF('Loan Inputs'!$B$14=26,14,7)))</f>
        <v/>
      </c>
      <c r="C1328" s="2" t="str">
        <f t="shared" si="62"/>
        <v/>
      </c>
      <c r="D1328" s="2" t="str">
        <f>IF(A1328="","",MIN('Loan Inputs'!$B$17,C1328+E1328)+H1328)</f>
        <v/>
      </c>
      <c r="E1328" s="2" t="str">
        <f>IF(A1328="","",C1328*'Loan Inputs'!$B$15)</f>
        <v/>
      </c>
      <c r="F1328" s="2" t="str">
        <f t="shared" si="60"/>
        <v/>
      </c>
      <c r="G1328" s="2" t="str">
        <f t="shared" si="61"/>
        <v/>
      </c>
      <c r="H1328" s="2" t="str">
        <f>IF(A1328="","",MIN('Loan Inputs'!$B$18,MAX(0,C1328+E1328-'Loan Inputs'!$B$17)))</f>
        <v/>
      </c>
    </row>
    <row r="1329" spans="1:8" ht="22" customHeight="1">
      <c r="A1329" s="1" t="str">
        <f>IF(AND('Loan Inputs'!$B$12,1323&lt;=IF('Loan Inputs'!$B$12,'Loan Inputs'!$B$7,0)*'Loan Inputs'!$B$14+5*'Loan Inputs'!$B$14,ISNUMBER(G1328),G1328&gt;0),1323,"")</f>
        <v/>
      </c>
      <c r="B1329" s="4" t="str">
        <f>IF(A1329="","",IF('Loan Inputs'!$B$14=12,DATE(YEAR('Loan Inputs'!$B$8),MONTH('Loan Inputs'!$B$8)+A1329,DAY('Loan Inputs'!$B$8)),'Loan Inputs'!$B$8+A1329*IF('Loan Inputs'!$B$14=26,14,7)))</f>
        <v/>
      </c>
      <c r="C1329" s="2" t="str">
        <f t="shared" si="62"/>
        <v/>
      </c>
      <c r="D1329" s="2" t="str">
        <f>IF(A1329="","",MIN('Loan Inputs'!$B$17,C1329+E1329)+H1329)</f>
        <v/>
      </c>
      <c r="E1329" s="2" t="str">
        <f>IF(A1329="","",C1329*'Loan Inputs'!$B$15)</f>
        <v/>
      </c>
      <c r="F1329" s="2" t="str">
        <f t="shared" si="60"/>
        <v/>
      </c>
      <c r="G1329" s="2" t="str">
        <f t="shared" si="61"/>
        <v/>
      </c>
      <c r="H1329" s="2" t="str">
        <f>IF(A1329="","",MIN('Loan Inputs'!$B$18,MAX(0,C1329+E1329-'Loan Inputs'!$B$17)))</f>
        <v/>
      </c>
    </row>
    <row r="1330" spans="1:8" ht="22" customHeight="1">
      <c r="A1330" s="1" t="str">
        <f>IF(AND('Loan Inputs'!$B$12,1324&lt;=IF('Loan Inputs'!$B$12,'Loan Inputs'!$B$7,0)*'Loan Inputs'!$B$14+5*'Loan Inputs'!$B$14,ISNUMBER(G1329),G1329&gt;0),1324,"")</f>
        <v/>
      </c>
      <c r="B1330" s="4" t="str">
        <f>IF(A1330="","",IF('Loan Inputs'!$B$14=12,DATE(YEAR('Loan Inputs'!$B$8),MONTH('Loan Inputs'!$B$8)+A1330,DAY('Loan Inputs'!$B$8)),'Loan Inputs'!$B$8+A1330*IF('Loan Inputs'!$B$14=26,14,7)))</f>
        <v/>
      </c>
      <c r="C1330" s="2" t="str">
        <f t="shared" si="62"/>
        <v/>
      </c>
      <c r="D1330" s="2" t="str">
        <f>IF(A1330="","",MIN('Loan Inputs'!$B$17,C1330+E1330)+H1330)</f>
        <v/>
      </c>
      <c r="E1330" s="2" t="str">
        <f>IF(A1330="","",C1330*'Loan Inputs'!$B$15)</f>
        <v/>
      </c>
      <c r="F1330" s="2" t="str">
        <f t="shared" si="60"/>
        <v/>
      </c>
      <c r="G1330" s="2" t="str">
        <f t="shared" si="61"/>
        <v/>
      </c>
      <c r="H1330" s="2" t="str">
        <f>IF(A1330="","",MIN('Loan Inputs'!$B$18,MAX(0,C1330+E1330-'Loan Inputs'!$B$17)))</f>
        <v/>
      </c>
    </row>
    <row r="1331" spans="1:8" ht="22" customHeight="1">
      <c r="A1331" s="1" t="str">
        <f>IF(AND('Loan Inputs'!$B$12,1325&lt;=IF('Loan Inputs'!$B$12,'Loan Inputs'!$B$7,0)*'Loan Inputs'!$B$14+5*'Loan Inputs'!$B$14,ISNUMBER(G1330),G1330&gt;0),1325,"")</f>
        <v/>
      </c>
      <c r="B1331" s="4" t="str">
        <f>IF(A1331="","",IF('Loan Inputs'!$B$14=12,DATE(YEAR('Loan Inputs'!$B$8),MONTH('Loan Inputs'!$B$8)+A1331,DAY('Loan Inputs'!$B$8)),'Loan Inputs'!$B$8+A1331*IF('Loan Inputs'!$B$14=26,14,7)))</f>
        <v/>
      </c>
      <c r="C1331" s="2" t="str">
        <f t="shared" si="62"/>
        <v/>
      </c>
      <c r="D1331" s="2" t="str">
        <f>IF(A1331="","",MIN('Loan Inputs'!$B$17,C1331+E1331)+H1331)</f>
        <v/>
      </c>
      <c r="E1331" s="2" t="str">
        <f>IF(A1331="","",C1331*'Loan Inputs'!$B$15)</f>
        <v/>
      </c>
      <c r="F1331" s="2" t="str">
        <f t="shared" si="60"/>
        <v/>
      </c>
      <c r="G1331" s="2" t="str">
        <f t="shared" si="61"/>
        <v/>
      </c>
      <c r="H1331" s="2" t="str">
        <f>IF(A1331="","",MIN('Loan Inputs'!$B$18,MAX(0,C1331+E1331-'Loan Inputs'!$B$17)))</f>
        <v/>
      </c>
    </row>
    <row r="1332" spans="1:8" ht="22" customHeight="1">
      <c r="A1332" s="1" t="str">
        <f>IF(AND('Loan Inputs'!$B$12,1326&lt;=IF('Loan Inputs'!$B$12,'Loan Inputs'!$B$7,0)*'Loan Inputs'!$B$14+5*'Loan Inputs'!$B$14,ISNUMBER(G1331),G1331&gt;0),1326,"")</f>
        <v/>
      </c>
      <c r="B1332" s="4" t="str">
        <f>IF(A1332="","",IF('Loan Inputs'!$B$14=12,DATE(YEAR('Loan Inputs'!$B$8),MONTH('Loan Inputs'!$B$8)+A1332,DAY('Loan Inputs'!$B$8)),'Loan Inputs'!$B$8+A1332*IF('Loan Inputs'!$B$14=26,14,7)))</f>
        <v/>
      </c>
      <c r="C1332" s="2" t="str">
        <f t="shared" si="62"/>
        <v/>
      </c>
      <c r="D1332" s="2" t="str">
        <f>IF(A1332="","",MIN('Loan Inputs'!$B$17,C1332+E1332)+H1332)</f>
        <v/>
      </c>
      <c r="E1332" s="2" t="str">
        <f>IF(A1332="","",C1332*'Loan Inputs'!$B$15)</f>
        <v/>
      </c>
      <c r="F1332" s="2" t="str">
        <f t="shared" si="60"/>
        <v/>
      </c>
      <c r="G1332" s="2" t="str">
        <f t="shared" si="61"/>
        <v/>
      </c>
      <c r="H1332" s="2" t="str">
        <f>IF(A1332="","",MIN('Loan Inputs'!$B$18,MAX(0,C1332+E1332-'Loan Inputs'!$B$17)))</f>
        <v/>
      </c>
    </row>
    <row r="1333" spans="1:8" ht="22" customHeight="1">
      <c r="A1333" s="1" t="str">
        <f>IF(AND('Loan Inputs'!$B$12,1327&lt;=IF('Loan Inputs'!$B$12,'Loan Inputs'!$B$7,0)*'Loan Inputs'!$B$14+5*'Loan Inputs'!$B$14,ISNUMBER(G1332),G1332&gt;0),1327,"")</f>
        <v/>
      </c>
      <c r="B1333" s="4" t="str">
        <f>IF(A1333="","",IF('Loan Inputs'!$B$14=12,DATE(YEAR('Loan Inputs'!$B$8),MONTH('Loan Inputs'!$B$8)+A1333,DAY('Loan Inputs'!$B$8)),'Loan Inputs'!$B$8+A1333*IF('Loan Inputs'!$B$14=26,14,7)))</f>
        <v/>
      </c>
      <c r="C1333" s="2" t="str">
        <f t="shared" si="62"/>
        <v/>
      </c>
      <c r="D1333" s="2" t="str">
        <f>IF(A1333="","",MIN('Loan Inputs'!$B$17,C1333+E1333)+H1333)</f>
        <v/>
      </c>
      <c r="E1333" s="2" t="str">
        <f>IF(A1333="","",C1333*'Loan Inputs'!$B$15)</f>
        <v/>
      </c>
      <c r="F1333" s="2" t="str">
        <f t="shared" si="60"/>
        <v/>
      </c>
      <c r="G1333" s="2" t="str">
        <f t="shared" si="61"/>
        <v/>
      </c>
      <c r="H1333" s="2" t="str">
        <f>IF(A1333="","",MIN('Loan Inputs'!$B$18,MAX(0,C1333+E1333-'Loan Inputs'!$B$17)))</f>
        <v/>
      </c>
    </row>
    <row r="1334" spans="1:8" ht="22" customHeight="1">
      <c r="A1334" s="1" t="str">
        <f>IF(AND('Loan Inputs'!$B$12,1328&lt;=IF('Loan Inputs'!$B$12,'Loan Inputs'!$B$7,0)*'Loan Inputs'!$B$14+5*'Loan Inputs'!$B$14,ISNUMBER(G1333),G1333&gt;0),1328,"")</f>
        <v/>
      </c>
      <c r="B1334" s="4" t="str">
        <f>IF(A1334="","",IF('Loan Inputs'!$B$14=12,DATE(YEAR('Loan Inputs'!$B$8),MONTH('Loan Inputs'!$B$8)+A1334,DAY('Loan Inputs'!$B$8)),'Loan Inputs'!$B$8+A1334*IF('Loan Inputs'!$B$14=26,14,7)))</f>
        <v/>
      </c>
      <c r="C1334" s="2" t="str">
        <f t="shared" si="62"/>
        <v/>
      </c>
      <c r="D1334" s="2" t="str">
        <f>IF(A1334="","",MIN('Loan Inputs'!$B$17,C1334+E1334)+H1334)</f>
        <v/>
      </c>
      <c r="E1334" s="2" t="str">
        <f>IF(A1334="","",C1334*'Loan Inputs'!$B$15)</f>
        <v/>
      </c>
      <c r="F1334" s="2" t="str">
        <f t="shared" si="60"/>
        <v/>
      </c>
      <c r="G1334" s="2" t="str">
        <f t="shared" si="61"/>
        <v/>
      </c>
      <c r="H1334" s="2" t="str">
        <f>IF(A1334="","",MIN('Loan Inputs'!$B$18,MAX(0,C1334+E1334-'Loan Inputs'!$B$17)))</f>
        <v/>
      </c>
    </row>
    <row r="1335" spans="1:8" ht="22" customHeight="1">
      <c r="A1335" s="1" t="str">
        <f>IF(AND('Loan Inputs'!$B$12,1329&lt;=IF('Loan Inputs'!$B$12,'Loan Inputs'!$B$7,0)*'Loan Inputs'!$B$14+5*'Loan Inputs'!$B$14,ISNUMBER(G1334),G1334&gt;0),1329,"")</f>
        <v/>
      </c>
      <c r="B1335" s="4" t="str">
        <f>IF(A1335="","",IF('Loan Inputs'!$B$14=12,DATE(YEAR('Loan Inputs'!$B$8),MONTH('Loan Inputs'!$B$8)+A1335,DAY('Loan Inputs'!$B$8)),'Loan Inputs'!$B$8+A1335*IF('Loan Inputs'!$B$14=26,14,7)))</f>
        <v/>
      </c>
      <c r="C1335" s="2" t="str">
        <f t="shared" si="62"/>
        <v/>
      </c>
      <c r="D1335" s="2" t="str">
        <f>IF(A1335="","",MIN('Loan Inputs'!$B$17,C1335+E1335)+H1335)</f>
        <v/>
      </c>
      <c r="E1335" s="2" t="str">
        <f>IF(A1335="","",C1335*'Loan Inputs'!$B$15)</f>
        <v/>
      </c>
      <c r="F1335" s="2" t="str">
        <f t="shared" si="60"/>
        <v/>
      </c>
      <c r="G1335" s="2" t="str">
        <f t="shared" si="61"/>
        <v/>
      </c>
      <c r="H1335" s="2" t="str">
        <f>IF(A1335="","",MIN('Loan Inputs'!$B$18,MAX(0,C1335+E1335-'Loan Inputs'!$B$17)))</f>
        <v/>
      </c>
    </row>
    <row r="1336" spans="1:8" ht="22" customHeight="1">
      <c r="A1336" s="1" t="str">
        <f>IF(AND('Loan Inputs'!$B$12,1330&lt;=IF('Loan Inputs'!$B$12,'Loan Inputs'!$B$7,0)*'Loan Inputs'!$B$14+5*'Loan Inputs'!$B$14,ISNUMBER(G1335),G1335&gt;0),1330,"")</f>
        <v/>
      </c>
      <c r="B1336" s="4" t="str">
        <f>IF(A1336="","",IF('Loan Inputs'!$B$14=12,DATE(YEAR('Loan Inputs'!$B$8),MONTH('Loan Inputs'!$B$8)+A1336,DAY('Loan Inputs'!$B$8)),'Loan Inputs'!$B$8+A1336*IF('Loan Inputs'!$B$14=26,14,7)))</f>
        <v/>
      </c>
      <c r="C1336" s="2" t="str">
        <f t="shared" si="62"/>
        <v/>
      </c>
      <c r="D1336" s="2" t="str">
        <f>IF(A1336="","",MIN('Loan Inputs'!$B$17,C1336+E1336)+H1336)</f>
        <v/>
      </c>
      <c r="E1336" s="2" t="str">
        <f>IF(A1336="","",C1336*'Loan Inputs'!$B$15)</f>
        <v/>
      </c>
      <c r="F1336" s="2" t="str">
        <f t="shared" si="60"/>
        <v/>
      </c>
      <c r="G1336" s="2" t="str">
        <f t="shared" si="61"/>
        <v/>
      </c>
      <c r="H1336" s="2" t="str">
        <f>IF(A1336="","",MIN('Loan Inputs'!$B$18,MAX(0,C1336+E1336-'Loan Inputs'!$B$17)))</f>
        <v/>
      </c>
    </row>
    <row r="1337" spans="1:8" ht="22" customHeight="1">
      <c r="A1337" s="1" t="str">
        <f>IF(AND('Loan Inputs'!$B$12,1331&lt;=IF('Loan Inputs'!$B$12,'Loan Inputs'!$B$7,0)*'Loan Inputs'!$B$14+5*'Loan Inputs'!$B$14,ISNUMBER(G1336),G1336&gt;0),1331,"")</f>
        <v/>
      </c>
      <c r="B1337" s="4" t="str">
        <f>IF(A1337="","",IF('Loan Inputs'!$B$14=12,DATE(YEAR('Loan Inputs'!$B$8),MONTH('Loan Inputs'!$B$8)+A1337,DAY('Loan Inputs'!$B$8)),'Loan Inputs'!$B$8+A1337*IF('Loan Inputs'!$B$14=26,14,7)))</f>
        <v/>
      </c>
      <c r="C1337" s="2" t="str">
        <f t="shared" si="62"/>
        <v/>
      </c>
      <c r="D1337" s="2" t="str">
        <f>IF(A1337="","",MIN('Loan Inputs'!$B$17,C1337+E1337)+H1337)</f>
        <v/>
      </c>
      <c r="E1337" s="2" t="str">
        <f>IF(A1337="","",C1337*'Loan Inputs'!$B$15)</f>
        <v/>
      </c>
      <c r="F1337" s="2" t="str">
        <f t="shared" si="60"/>
        <v/>
      </c>
      <c r="G1337" s="2" t="str">
        <f t="shared" si="61"/>
        <v/>
      </c>
      <c r="H1337" s="2" t="str">
        <f>IF(A1337="","",MIN('Loan Inputs'!$B$18,MAX(0,C1337+E1337-'Loan Inputs'!$B$17)))</f>
        <v/>
      </c>
    </row>
    <row r="1338" spans="1:8" ht="22" customHeight="1">
      <c r="A1338" s="1" t="str">
        <f>IF(AND('Loan Inputs'!$B$12,1332&lt;=IF('Loan Inputs'!$B$12,'Loan Inputs'!$B$7,0)*'Loan Inputs'!$B$14+5*'Loan Inputs'!$B$14,ISNUMBER(G1337),G1337&gt;0),1332,"")</f>
        <v/>
      </c>
      <c r="B1338" s="4" t="str">
        <f>IF(A1338="","",IF('Loan Inputs'!$B$14=12,DATE(YEAR('Loan Inputs'!$B$8),MONTH('Loan Inputs'!$B$8)+A1338,DAY('Loan Inputs'!$B$8)),'Loan Inputs'!$B$8+A1338*IF('Loan Inputs'!$B$14=26,14,7)))</f>
        <v/>
      </c>
      <c r="C1338" s="2" t="str">
        <f t="shared" si="62"/>
        <v/>
      </c>
      <c r="D1338" s="2" t="str">
        <f>IF(A1338="","",MIN('Loan Inputs'!$B$17,C1338+E1338)+H1338)</f>
        <v/>
      </c>
      <c r="E1338" s="2" t="str">
        <f>IF(A1338="","",C1338*'Loan Inputs'!$B$15)</f>
        <v/>
      </c>
      <c r="F1338" s="2" t="str">
        <f t="shared" si="60"/>
        <v/>
      </c>
      <c r="G1338" s="2" t="str">
        <f t="shared" si="61"/>
        <v/>
      </c>
      <c r="H1338" s="2" t="str">
        <f>IF(A1338="","",MIN('Loan Inputs'!$B$18,MAX(0,C1338+E1338-'Loan Inputs'!$B$17)))</f>
        <v/>
      </c>
    </row>
    <row r="1339" spans="1:8" ht="22" customHeight="1">
      <c r="A1339" s="1" t="str">
        <f>IF(AND('Loan Inputs'!$B$12,1333&lt;=IF('Loan Inputs'!$B$12,'Loan Inputs'!$B$7,0)*'Loan Inputs'!$B$14+5*'Loan Inputs'!$B$14,ISNUMBER(G1338),G1338&gt;0),1333,"")</f>
        <v/>
      </c>
      <c r="B1339" s="4" t="str">
        <f>IF(A1339="","",IF('Loan Inputs'!$B$14=12,DATE(YEAR('Loan Inputs'!$B$8),MONTH('Loan Inputs'!$B$8)+A1339,DAY('Loan Inputs'!$B$8)),'Loan Inputs'!$B$8+A1339*IF('Loan Inputs'!$B$14=26,14,7)))</f>
        <v/>
      </c>
      <c r="C1339" s="2" t="str">
        <f t="shared" si="62"/>
        <v/>
      </c>
      <c r="D1339" s="2" t="str">
        <f>IF(A1339="","",MIN('Loan Inputs'!$B$17,C1339+E1339)+H1339)</f>
        <v/>
      </c>
      <c r="E1339" s="2" t="str">
        <f>IF(A1339="","",C1339*'Loan Inputs'!$B$15)</f>
        <v/>
      </c>
      <c r="F1339" s="2" t="str">
        <f t="shared" si="60"/>
        <v/>
      </c>
      <c r="G1339" s="2" t="str">
        <f t="shared" si="61"/>
        <v/>
      </c>
      <c r="H1339" s="2" t="str">
        <f>IF(A1339="","",MIN('Loan Inputs'!$B$18,MAX(0,C1339+E1339-'Loan Inputs'!$B$17)))</f>
        <v/>
      </c>
    </row>
    <row r="1340" spans="1:8" ht="22" customHeight="1">
      <c r="A1340" s="1" t="str">
        <f>IF(AND('Loan Inputs'!$B$12,1334&lt;=IF('Loan Inputs'!$B$12,'Loan Inputs'!$B$7,0)*'Loan Inputs'!$B$14+5*'Loan Inputs'!$B$14,ISNUMBER(G1339),G1339&gt;0),1334,"")</f>
        <v/>
      </c>
      <c r="B1340" s="4" t="str">
        <f>IF(A1340="","",IF('Loan Inputs'!$B$14=12,DATE(YEAR('Loan Inputs'!$B$8),MONTH('Loan Inputs'!$B$8)+A1340,DAY('Loan Inputs'!$B$8)),'Loan Inputs'!$B$8+A1340*IF('Loan Inputs'!$B$14=26,14,7)))</f>
        <v/>
      </c>
      <c r="C1340" s="2" t="str">
        <f t="shared" si="62"/>
        <v/>
      </c>
      <c r="D1340" s="2" t="str">
        <f>IF(A1340="","",MIN('Loan Inputs'!$B$17,C1340+E1340)+H1340)</f>
        <v/>
      </c>
      <c r="E1340" s="2" t="str">
        <f>IF(A1340="","",C1340*'Loan Inputs'!$B$15)</f>
        <v/>
      </c>
      <c r="F1340" s="2" t="str">
        <f t="shared" si="60"/>
        <v/>
      </c>
      <c r="G1340" s="2" t="str">
        <f t="shared" si="61"/>
        <v/>
      </c>
      <c r="H1340" s="2" t="str">
        <f>IF(A1340="","",MIN('Loan Inputs'!$B$18,MAX(0,C1340+E1340-'Loan Inputs'!$B$17)))</f>
        <v/>
      </c>
    </row>
    <row r="1341" spans="1:8" ht="22" customHeight="1">
      <c r="A1341" s="1" t="str">
        <f>IF(AND('Loan Inputs'!$B$12,1335&lt;=IF('Loan Inputs'!$B$12,'Loan Inputs'!$B$7,0)*'Loan Inputs'!$B$14+5*'Loan Inputs'!$B$14,ISNUMBER(G1340),G1340&gt;0),1335,"")</f>
        <v/>
      </c>
      <c r="B1341" s="4" t="str">
        <f>IF(A1341="","",IF('Loan Inputs'!$B$14=12,DATE(YEAR('Loan Inputs'!$B$8),MONTH('Loan Inputs'!$B$8)+A1341,DAY('Loan Inputs'!$B$8)),'Loan Inputs'!$B$8+A1341*IF('Loan Inputs'!$B$14=26,14,7)))</f>
        <v/>
      </c>
      <c r="C1341" s="2" t="str">
        <f t="shared" si="62"/>
        <v/>
      </c>
      <c r="D1341" s="2" t="str">
        <f>IF(A1341="","",MIN('Loan Inputs'!$B$17,C1341+E1341)+H1341)</f>
        <v/>
      </c>
      <c r="E1341" s="2" t="str">
        <f>IF(A1341="","",C1341*'Loan Inputs'!$B$15)</f>
        <v/>
      </c>
      <c r="F1341" s="2" t="str">
        <f t="shared" si="60"/>
        <v/>
      </c>
      <c r="G1341" s="2" t="str">
        <f t="shared" si="61"/>
        <v/>
      </c>
      <c r="H1341" s="2" t="str">
        <f>IF(A1341="","",MIN('Loan Inputs'!$B$18,MAX(0,C1341+E1341-'Loan Inputs'!$B$17)))</f>
        <v/>
      </c>
    </row>
    <row r="1342" spans="1:8" ht="22" customHeight="1">
      <c r="A1342" s="1" t="str">
        <f>IF(AND('Loan Inputs'!$B$12,1336&lt;=IF('Loan Inputs'!$B$12,'Loan Inputs'!$B$7,0)*'Loan Inputs'!$B$14+5*'Loan Inputs'!$B$14,ISNUMBER(G1341),G1341&gt;0),1336,"")</f>
        <v/>
      </c>
      <c r="B1342" s="4" t="str">
        <f>IF(A1342="","",IF('Loan Inputs'!$B$14=12,DATE(YEAR('Loan Inputs'!$B$8),MONTH('Loan Inputs'!$B$8)+A1342,DAY('Loan Inputs'!$B$8)),'Loan Inputs'!$B$8+A1342*IF('Loan Inputs'!$B$14=26,14,7)))</f>
        <v/>
      </c>
      <c r="C1342" s="2" t="str">
        <f t="shared" si="62"/>
        <v/>
      </c>
      <c r="D1342" s="2" t="str">
        <f>IF(A1342="","",MIN('Loan Inputs'!$B$17,C1342+E1342)+H1342)</f>
        <v/>
      </c>
      <c r="E1342" s="2" t="str">
        <f>IF(A1342="","",C1342*'Loan Inputs'!$B$15)</f>
        <v/>
      </c>
      <c r="F1342" s="2" t="str">
        <f t="shared" si="60"/>
        <v/>
      </c>
      <c r="G1342" s="2" t="str">
        <f t="shared" si="61"/>
        <v/>
      </c>
      <c r="H1342" s="2" t="str">
        <f>IF(A1342="","",MIN('Loan Inputs'!$B$18,MAX(0,C1342+E1342-'Loan Inputs'!$B$17)))</f>
        <v/>
      </c>
    </row>
    <row r="1343" spans="1:8" ht="22" customHeight="1">
      <c r="A1343" s="1" t="str">
        <f>IF(AND('Loan Inputs'!$B$12,1337&lt;=IF('Loan Inputs'!$B$12,'Loan Inputs'!$B$7,0)*'Loan Inputs'!$B$14+5*'Loan Inputs'!$B$14,ISNUMBER(G1342),G1342&gt;0),1337,"")</f>
        <v/>
      </c>
      <c r="B1343" s="4" t="str">
        <f>IF(A1343="","",IF('Loan Inputs'!$B$14=12,DATE(YEAR('Loan Inputs'!$B$8),MONTH('Loan Inputs'!$B$8)+A1343,DAY('Loan Inputs'!$B$8)),'Loan Inputs'!$B$8+A1343*IF('Loan Inputs'!$B$14=26,14,7)))</f>
        <v/>
      </c>
      <c r="C1343" s="2" t="str">
        <f t="shared" si="62"/>
        <v/>
      </c>
      <c r="D1343" s="2" t="str">
        <f>IF(A1343="","",MIN('Loan Inputs'!$B$17,C1343+E1343)+H1343)</f>
        <v/>
      </c>
      <c r="E1343" s="2" t="str">
        <f>IF(A1343="","",C1343*'Loan Inputs'!$B$15)</f>
        <v/>
      </c>
      <c r="F1343" s="2" t="str">
        <f t="shared" si="60"/>
        <v/>
      </c>
      <c r="G1343" s="2" t="str">
        <f t="shared" si="61"/>
        <v/>
      </c>
      <c r="H1343" s="2" t="str">
        <f>IF(A1343="","",MIN('Loan Inputs'!$B$18,MAX(0,C1343+E1343-'Loan Inputs'!$B$17)))</f>
        <v/>
      </c>
    </row>
    <row r="1344" spans="1:8" ht="22" customHeight="1">
      <c r="A1344" s="1" t="str">
        <f>IF(AND('Loan Inputs'!$B$12,1338&lt;=IF('Loan Inputs'!$B$12,'Loan Inputs'!$B$7,0)*'Loan Inputs'!$B$14+5*'Loan Inputs'!$B$14,ISNUMBER(G1343),G1343&gt;0),1338,"")</f>
        <v/>
      </c>
      <c r="B1344" s="4" t="str">
        <f>IF(A1344="","",IF('Loan Inputs'!$B$14=12,DATE(YEAR('Loan Inputs'!$B$8),MONTH('Loan Inputs'!$B$8)+A1344,DAY('Loan Inputs'!$B$8)),'Loan Inputs'!$B$8+A1344*IF('Loan Inputs'!$B$14=26,14,7)))</f>
        <v/>
      </c>
      <c r="C1344" s="2" t="str">
        <f t="shared" si="62"/>
        <v/>
      </c>
      <c r="D1344" s="2" t="str">
        <f>IF(A1344="","",MIN('Loan Inputs'!$B$17,C1344+E1344)+H1344)</f>
        <v/>
      </c>
      <c r="E1344" s="2" t="str">
        <f>IF(A1344="","",C1344*'Loan Inputs'!$B$15)</f>
        <v/>
      </c>
      <c r="F1344" s="2" t="str">
        <f t="shared" si="60"/>
        <v/>
      </c>
      <c r="G1344" s="2" t="str">
        <f t="shared" si="61"/>
        <v/>
      </c>
      <c r="H1344" s="2" t="str">
        <f>IF(A1344="","",MIN('Loan Inputs'!$B$18,MAX(0,C1344+E1344-'Loan Inputs'!$B$17)))</f>
        <v/>
      </c>
    </row>
    <row r="1345" spans="1:8" ht="22" customHeight="1">
      <c r="A1345" s="1" t="str">
        <f>IF(AND('Loan Inputs'!$B$12,1339&lt;=IF('Loan Inputs'!$B$12,'Loan Inputs'!$B$7,0)*'Loan Inputs'!$B$14+5*'Loan Inputs'!$B$14,ISNUMBER(G1344),G1344&gt;0),1339,"")</f>
        <v/>
      </c>
      <c r="B1345" s="4" t="str">
        <f>IF(A1345="","",IF('Loan Inputs'!$B$14=12,DATE(YEAR('Loan Inputs'!$B$8),MONTH('Loan Inputs'!$B$8)+A1345,DAY('Loan Inputs'!$B$8)),'Loan Inputs'!$B$8+A1345*IF('Loan Inputs'!$B$14=26,14,7)))</f>
        <v/>
      </c>
      <c r="C1345" s="2" t="str">
        <f t="shared" si="62"/>
        <v/>
      </c>
      <c r="D1345" s="2" t="str">
        <f>IF(A1345="","",MIN('Loan Inputs'!$B$17,C1345+E1345)+H1345)</f>
        <v/>
      </c>
      <c r="E1345" s="2" t="str">
        <f>IF(A1345="","",C1345*'Loan Inputs'!$B$15)</f>
        <v/>
      </c>
      <c r="F1345" s="2" t="str">
        <f t="shared" si="60"/>
        <v/>
      </c>
      <c r="G1345" s="2" t="str">
        <f t="shared" si="61"/>
        <v/>
      </c>
      <c r="H1345" s="2" t="str">
        <f>IF(A1345="","",MIN('Loan Inputs'!$B$18,MAX(0,C1345+E1345-'Loan Inputs'!$B$17)))</f>
        <v/>
      </c>
    </row>
    <row r="1346" spans="1:8" ht="22" customHeight="1">
      <c r="A1346" s="1" t="str">
        <f>IF(AND('Loan Inputs'!$B$12,1340&lt;=IF('Loan Inputs'!$B$12,'Loan Inputs'!$B$7,0)*'Loan Inputs'!$B$14+5*'Loan Inputs'!$B$14,ISNUMBER(G1345),G1345&gt;0),1340,"")</f>
        <v/>
      </c>
      <c r="B1346" s="4" t="str">
        <f>IF(A1346="","",IF('Loan Inputs'!$B$14=12,DATE(YEAR('Loan Inputs'!$B$8),MONTH('Loan Inputs'!$B$8)+A1346,DAY('Loan Inputs'!$B$8)),'Loan Inputs'!$B$8+A1346*IF('Loan Inputs'!$B$14=26,14,7)))</f>
        <v/>
      </c>
      <c r="C1346" s="2" t="str">
        <f t="shared" si="62"/>
        <v/>
      </c>
      <c r="D1346" s="2" t="str">
        <f>IF(A1346="","",MIN('Loan Inputs'!$B$17,C1346+E1346)+H1346)</f>
        <v/>
      </c>
      <c r="E1346" s="2" t="str">
        <f>IF(A1346="","",C1346*'Loan Inputs'!$B$15)</f>
        <v/>
      </c>
      <c r="F1346" s="2" t="str">
        <f t="shared" si="60"/>
        <v/>
      </c>
      <c r="G1346" s="2" t="str">
        <f t="shared" si="61"/>
        <v/>
      </c>
      <c r="H1346" s="2" t="str">
        <f>IF(A1346="","",MIN('Loan Inputs'!$B$18,MAX(0,C1346+E1346-'Loan Inputs'!$B$17)))</f>
        <v/>
      </c>
    </row>
    <row r="1347" spans="1:8" ht="22" customHeight="1">
      <c r="A1347" s="1" t="str">
        <f>IF(AND('Loan Inputs'!$B$12,1341&lt;=IF('Loan Inputs'!$B$12,'Loan Inputs'!$B$7,0)*'Loan Inputs'!$B$14+5*'Loan Inputs'!$B$14,ISNUMBER(G1346),G1346&gt;0),1341,"")</f>
        <v/>
      </c>
      <c r="B1347" s="4" t="str">
        <f>IF(A1347="","",IF('Loan Inputs'!$B$14=12,DATE(YEAR('Loan Inputs'!$B$8),MONTH('Loan Inputs'!$B$8)+A1347,DAY('Loan Inputs'!$B$8)),'Loan Inputs'!$B$8+A1347*IF('Loan Inputs'!$B$14=26,14,7)))</f>
        <v/>
      </c>
      <c r="C1347" s="2" t="str">
        <f t="shared" si="62"/>
        <v/>
      </c>
      <c r="D1347" s="2" t="str">
        <f>IF(A1347="","",MIN('Loan Inputs'!$B$17,C1347+E1347)+H1347)</f>
        <v/>
      </c>
      <c r="E1347" s="2" t="str">
        <f>IF(A1347="","",C1347*'Loan Inputs'!$B$15)</f>
        <v/>
      </c>
      <c r="F1347" s="2" t="str">
        <f t="shared" si="60"/>
        <v/>
      </c>
      <c r="G1347" s="2" t="str">
        <f t="shared" si="61"/>
        <v/>
      </c>
      <c r="H1347" s="2" t="str">
        <f>IF(A1347="","",MIN('Loan Inputs'!$B$18,MAX(0,C1347+E1347-'Loan Inputs'!$B$17)))</f>
        <v/>
      </c>
    </row>
    <row r="1348" spans="1:8" ht="22" customHeight="1">
      <c r="A1348" s="1" t="str">
        <f>IF(AND('Loan Inputs'!$B$12,1342&lt;=IF('Loan Inputs'!$B$12,'Loan Inputs'!$B$7,0)*'Loan Inputs'!$B$14+5*'Loan Inputs'!$B$14,ISNUMBER(G1347),G1347&gt;0),1342,"")</f>
        <v/>
      </c>
      <c r="B1348" s="4" t="str">
        <f>IF(A1348="","",IF('Loan Inputs'!$B$14=12,DATE(YEAR('Loan Inputs'!$B$8),MONTH('Loan Inputs'!$B$8)+A1348,DAY('Loan Inputs'!$B$8)),'Loan Inputs'!$B$8+A1348*IF('Loan Inputs'!$B$14=26,14,7)))</f>
        <v/>
      </c>
      <c r="C1348" s="2" t="str">
        <f t="shared" si="62"/>
        <v/>
      </c>
      <c r="D1348" s="2" t="str">
        <f>IF(A1348="","",MIN('Loan Inputs'!$B$17,C1348+E1348)+H1348)</f>
        <v/>
      </c>
      <c r="E1348" s="2" t="str">
        <f>IF(A1348="","",C1348*'Loan Inputs'!$B$15)</f>
        <v/>
      </c>
      <c r="F1348" s="2" t="str">
        <f t="shared" si="60"/>
        <v/>
      </c>
      <c r="G1348" s="2" t="str">
        <f t="shared" si="61"/>
        <v/>
      </c>
      <c r="H1348" s="2" t="str">
        <f>IF(A1348="","",MIN('Loan Inputs'!$B$18,MAX(0,C1348+E1348-'Loan Inputs'!$B$17)))</f>
        <v/>
      </c>
    </row>
    <row r="1349" spans="1:8" ht="22" customHeight="1">
      <c r="A1349" s="1" t="str">
        <f>IF(AND('Loan Inputs'!$B$12,1343&lt;=IF('Loan Inputs'!$B$12,'Loan Inputs'!$B$7,0)*'Loan Inputs'!$B$14+5*'Loan Inputs'!$B$14,ISNUMBER(G1348),G1348&gt;0),1343,"")</f>
        <v/>
      </c>
      <c r="B1349" s="4" t="str">
        <f>IF(A1349="","",IF('Loan Inputs'!$B$14=12,DATE(YEAR('Loan Inputs'!$B$8),MONTH('Loan Inputs'!$B$8)+A1349,DAY('Loan Inputs'!$B$8)),'Loan Inputs'!$B$8+A1349*IF('Loan Inputs'!$B$14=26,14,7)))</f>
        <v/>
      </c>
      <c r="C1349" s="2" t="str">
        <f t="shared" si="62"/>
        <v/>
      </c>
      <c r="D1349" s="2" t="str">
        <f>IF(A1349="","",MIN('Loan Inputs'!$B$17,C1349+E1349)+H1349)</f>
        <v/>
      </c>
      <c r="E1349" s="2" t="str">
        <f>IF(A1349="","",C1349*'Loan Inputs'!$B$15)</f>
        <v/>
      </c>
      <c r="F1349" s="2" t="str">
        <f t="shared" si="60"/>
        <v/>
      </c>
      <c r="G1349" s="2" t="str">
        <f t="shared" si="61"/>
        <v/>
      </c>
      <c r="H1349" s="2" t="str">
        <f>IF(A1349="","",MIN('Loan Inputs'!$B$18,MAX(0,C1349+E1349-'Loan Inputs'!$B$17)))</f>
        <v/>
      </c>
    </row>
    <row r="1350" spans="1:8" ht="22" customHeight="1">
      <c r="A1350" s="1" t="str">
        <f>IF(AND('Loan Inputs'!$B$12,1344&lt;=IF('Loan Inputs'!$B$12,'Loan Inputs'!$B$7,0)*'Loan Inputs'!$B$14+5*'Loan Inputs'!$B$14,ISNUMBER(G1349),G1349&gt;0),1344,"")</f>
        <v/>
      </c>
      <c r="B1350" s="4" t="str">
        <f>IF(A1350="","",IF('Loan Inputs'!$B$14=12,DATE(YEAR('Loan Inputs'!$B$8),MONTH('Loan Inputs'!$B$8)+A1350,DAY('Loan Inputs'!$B$8)),'Loan Inputs'!$B$8+A1350*IF('Loan Inputs'!$B$14=26,14,7)))</f>
        <v/>
      </c>
      <c r="C1350" s="2" t="str">
        <f t="shared" si="62"/>
        <v/>
      </c>
      <c r="D1350" s="2" t="str">
        <f>IF(A1350="","",MIN('Loan Inputs'!$B$17,C1350+E1350)+H1350)</f>
        <v/>
      </c>
      <c r="E1350" s="2" t="str">
        <f>IF(A1350="","",C1350*'Loan Inputs'!$B$15)</f>
        <v/>
      </c>
      <c r="F1350" s="2" t="str">
        <f t="shared" si="60"/>
        <v/>
      </c>
      <c r="G1350" s="2" t="str">
        <f t="shared" si="61"/>
        <v/>
      </c>
      <c r="H1350" s="2" t="str">
        <f>IF(A1350="","",MIN('Loan Inputs'!$B$18,MAX(0,C1350+E1350-'Loan Inputs'!$B$17)))</f>
        <v/>
      </c>
    </row>
    <row r="1351" spans="1:8" ht="22" customHeight="1">
      <c r="A1351" s="1" t="str">
        <f>IF(AND('Loan Inputs'!$B$12,1345&lt;=IF('Loan Inputs'!$B$12,'Loan Inputs'!$B$7,0)*'Loan Inputs'!$B$14+5*'Loan Inputs'!$B$14,ISNUMBER(G1350),G1350&gt;0),1345,"")</f>
        <v/>
      </c>
      <c r="B1351" s="4" t="str">
        <f>IF(A1351="","",IF('Loan Inputs'!$B$14=12,DATE(YEAR('Loan Inputs'!$B$8),MONTH('Loan Inputs'!$B$8)+A1351,DAY('Loan Inputs'!$B$8)),'Loan Inputs'!$B$8+A1351*IF('Loan Inputs'!$B$14=26,14,7)))</f>
        <v/>
      </c>
      <c r="C1351" s="2" t="str">
        <f t="shared" si="62"/>
        <v/>
      </c>
      <c r="D1351" s="2" t="str">
        <f>IF(A1351="","",MIN('Loan Inputs'!$B$17,C1351+E1351)+H1351)</f>
        <v/>
      </c>
      <c r="E1351" s="2" t="str">
        <f>IF(A1351="","",C1351*'Loan Inputs'!$B$15)</f>
        <v/>
      </c>
      <c r="F1351" s="2" t="str">
        <f t="shared" ref="F1351:F1414" si="63">IF(A1351="","",MIN(C1351,D1351-E1351))</f>
        <v/>
      </c>
      <c r="G1351" s="2" t="str">
        <f t="shared" ref="G1351:G1414" si="64">IF(A1351="","",IF(C1351-F1351&lt;0.0000001,0,MAX(0,C1351-F1351)))</f>
        <v/>
      </c>
      <c r="H1351" s="2" t="str">
        <f>IF(A1351="","",MIN('Loan Inputs'!$B$18,MAX(0,C1351+E1351-'Loan Inputs'!$B$17)))</f>
        <v/>
      </c>
    </row>
    <row r="1352" spans="1:8" ht="22" customHeight="1">
      <c r="A1352" s="1" t="str">
        <f>IF(AND('Loan Inputs'!$B$12,1346&lt;=IF('Loan Inputs'!$B$12,'Loan Inputs'!$B$7,0)*'Loan Inputs'!$B$14+5*'Loan Inputs'!$B$14,ISNUMBER(G1351),G1351&gt;0),1346,"")</f>
        <v/>
      </c>
      <c r="B1352" s="4" t="str">
        <f>IF(A1352="","",IF('Loan Inputs'!$B$14=12,DATE(YEAR('Loan Inputs'!$B$8),MONTH('Loan Inputs'!$B$8)+A1352,DAY('Loan Inputs'!$B$8)),'Loan Inputs'!$B$8+A1352*IF('Loan Inputs'!$B$14=26,14,7)))</f>
        <v/>
      </c>
      <c r="C1352" s="2" t="str">
        <f t="shared" ref="C1352:C1415" si="65">IF(A1352="","",G1351)</f>
        <v/>
      </c>
      <c r="D1352" s="2" t="str">
        <f>IF(A1352="","",MIN('Loan Inputs'!$B$17,C1352+E1352)+H1352)</f>
        <v/>
      </c>
      <c r="E1352" s="2" t="str">
        <f>IF(A1352="","",C1352*'Loan Inputs'!$B$15)</f>
        <v/>
      </c>
      <c r="F1352" s="2" t="str">
        <f t="shared" si="63"/>
        <v/>
      </c>
      <c r="G1352" s="2" t="str">
        <f t="shared" si="64"/>
        <v/>
      </c>
      <c r="H1352" s="2" t="str">
        <f>IF(A1352="","",MIN('Loan Inputs'!$B$18,MAX(0,C1352+E1352-'Loan Inputs'!$B$17)))</f>
        <v/>
      </c>
    </row>
    <row r="1353" spans="1:8" ht="22" customHeight="1">
      <c r="A1353" s="1" t="str">
        <f>IF(AND('Loan Inputs'!$B$12,1347&lt;=IF('Loan Inputs'!$B$12,'Loan Inputs'!$B$7,0)*'Loan Inputs'!$B$14+5*'Loan Inputs'!$B$14,ISNUMBER(G1352),G1352&gt;0),1347,"")</f>
        <v/>
      </c>
      <c r="B1353" s="4" t="str">
        <f>IF(A1353="","",IF('Loan Inputs'!$B$14=12,DATE(YEAR('Loan Inputs'!$B$8),MONTH('Loan Inputs'!$B$8)+A1353,DAY('Loan Inputs'!$B$8)),'Loan Inputs'!$B$8+A1353*IF('Loan Inputs'!$B$14=26,14,7)))</f>
        <v/>
      </c>
      <c r="C1353" s="2" t="str">
        <f t="shared" si="65"/>
        <v/>
      </c>
      <c r="D1353" s="2" t="str">
        <f>IF(A1353="","",MIN('Loan Inputs'!$B$17,C1353+E1353)+H1353)</f>
        <v/>
      </c>
      <c r="E1353" s="2" t="str">
        <f>IF(A1353="","",C1353*'Loan Inputs'!$B$15)</f>
        <v/>
      </c>
      <c r="F1353" s="2" t="str">
        <f t="shared" si="63"/>
        <v/>
      </c>
      <c r="G1353" s="2" t="str">
        <f t="shared" si="64"/>
        <v/>
      </c>
      <c r="H1353" s="2" t="str">
        <f>IF(A1353="","",MIN('Loan Inputs'!$B$18,MAX(0,C1353+E1353-'Loan Inputs'!$B$17)))</f>
        <v/>
      </c>
    </row>
    <row r="1354" spans="1:8" ht="22" customHeight="1">
      <c r="A1354" s="1" t="str">
        <f>IF(AND('Loan Inputs'!$B$12,1348&lt;=IF('Loan Inputs'!$B$12,'Loan Inputs'!$B$7,0)*'Loan Inputs'!$B$14+5*'Loan Inputs'!$B$14,ISNUMBER(G1353),G1353&gt;0),1348,"")</f>
        <v/>
      </c>
      <c r="B1354" s="4" t="str">
        <f>IF(A1354="","",IF('Loan Inputs'!$B$14=12,DATE(YEAR('Loan Inputs'!$B$8),MONTH('Loan Inputs'!$B$8)+A1354,DAY('Loan Inputs'!$B$8)),'Loan Inputs'!$B$8+A1354*IF('Loan Inputs'!$B$14=26,14,7)))</f>
        <v/>
      </c>
      <c r="C1354" s="2" t="str">
        <f t="shared" si="65"/>
        <v/>
      </c>
      <c r="D1354" s="2" t="str">
        <f>IF(A1354="","",MIN('Loan Inputs'!$B$17,C1354+E1354)+H1354)</f>
        <v/>
      </c>
      <c r="E1354" s="2" t="str">
        <f>IF(A1354="","",C1354*'Loan Inputs'!$B$15)</f>
        <v/>
      </c>
      <c r="F1354" s="2" t="str">
        <f t="shared" si="63"/>
        <v/>
      </c>
      <c r="G1354" s="2" t="str">
        <f t="shared" si="64"/>
        <v/>
      </c>
      <c r="H1354" s="2" t="str">
        <f>IF(A1354="","",MIN('Loan Inputs'!$B$18,MAX(0,C1354+E1354-'Loan Inputs'!$B$17)))</f>
        <v/>
      </c>
    </row>
    <row r="1355" spans="1:8" ht="22" customHeight="1">
      <c r="A1355" s="1" t="str">
        <f>IF(AND('Loan Inputs'!$B$12,1349&lt;=IF('Loan Inputs'!$B$12,'Loan Inputs'!$B$7,0)*'Loan Inputs'!$B$14+5*'Loan Inputs'!$B$14,ISNUMBER(G1354),G1354&gt;0),1349,"")</f>
        <v/>
      </c>
      <c r="B1355" s="4" t="str">
        <f>IF(A1355="","",IF('Loan Inputs'!$B$14=12,DATE(YEAR('Loan Inputs'!$B$8),MONTH('Loan Inputs'!$B$8)+A1355,DAY('Loan Inputs'!$B$8)),'Loan Inputs'!$B$8+A1355*IF('Loan Inputs'!$B$14=26,14,7)))</f>
        <v/>
      </c>
      <c r="C1355" s="2" t="str">
        <f t="shared" si="65"/>
        <v/>
      </c>
      <c r="D1355" s="2" t="str">
        <f>IF(A1355="","",MIN('Loan Inputs'!$B$17,C1355+E1355)+H1355)</f>
        <v/>
      </c>
      <c r="E1355" s="2" t="str">
        <f>IF(A1355="","",C1355*'Loan Inputs'!$B$15)</f>
        <v/>
      </c>
      <c r="F1355" s="2" t="str">
        <f t="shared" si="63"/>
        <v/>
      </c>
      <c r="G1355" s="2" t="str">
        <f t="shared" si="64"/>
        <v/>
      </c>
      <c r="H1355" s="2" t="str">
        <f>IF(A1355="","",MIN('Loan Inputs'!$B$18,MAX(0,C1355+E1355-'Loan Inputs'!$B$17)))</f>
        <v/>
      </c>
    </row>
    <row r="1356" spans="1:8" ht="22" customHeight="1">
      <c r="A1356" s="1" t="str">
        <f>IF(AND('Loan Inputs'!$B$12,1350&lt;=IF('Loan Inputs'!$B$12,'Loan Inputs'!$B$7,0)*'Loan Inputs'!$B$14+5*'Loan Inputs'!$B$14,ISNUMBER(G1355),G1355&gt;0),1350,"")</f>
        <v/>
      </c>
      <c r="B1356" s="4" t="str">
        <f>IF(A1356="","",IF('Loan Inputs'!$B$14=12,DATE(YEAR('Loan Inputs'!$B$8),MONTH('Loan Inputs'!$B$8)+A1356,DAY('Loan Inputs'!$B$8)),'Loan Inputs'!$B$8+A1356*IF('Loan Inputs'!$B$14=26,14,7)))</f>
        <v/>
      </c>
      <c r="C1356" s="2" t="str">
        <f t="shared" si="65"/>
        <v/>
      </c>
      <c r="D1356" s="2" t="str">
        <f>IF(A1356="","",MIN('Loan Inputs'!$B$17,C1356+E1356)+H1356)</f>
        <v/>
      </c>
      <c r="E1356" s="2" t="str">
        <f>IF(A1356="","",C1356*'Loan Inputs'!$B$15)</f>
        <v/>
      </c>
      <c r="F1356" s="2" t="str">
        <f t="shared" si="63"/>
        <v/>
      </c>
      <c r="G1356" s="2" t="str">
        <f t="shared" si="64"/>
        <v/>
      </c>
      <c r="H1356" s="2" t="str">
        <f>IF(A1356="","",MIN('Loan Inputs'!$B$18,MAX(0,C1356+E1356-'Loan Inputs'!$B$17)))</f>
        <v/>
      </c>
    </row>
    <row r="1357" spans="1:8" ht="22" customHeight="1">
      <c r="A1357" s="1" t="str">
        <f>IF(AND('Loan Inputs'!$B$12,1351&lt;=IF('Loan Inputs'!$B$12,'Loan Inputs'!$B$7,0)*'Loan Inputs'!$B$14+5*'Loan Inputs'!$B$14,ISNUMBER(G1356),G1356&gt;0),1351,"")</f>
        <v/>
      </c>
      <c r="B1357" s="4" t="str">
        <f>IF(A1357="","",IF('Loan Inputs'!$B$14=12,DATE(YEAR('Loan Inputs'!$B$8),MONTH('Loan Inputs'!$B$8)+A1357,DAY('Loan Inputs'!$B$8)),'Loan Inputs'!$B$8+A1357*IF('Loan Inputs'!$B$14=26,14,7)))</f>
        <v/>
      </c>
      <c r="C1357" s="2" t="str">
        <f t="shared" si="65"/>
        <v/>
      </c>
      <c r="D1357" s="2" t="str">
        <f>IF(A1357="","",MIN('Loan Inputs'!$B$17,C1357+E1357)+H1357)</f>
        <v/>
      </c>
      <c r="E1357" s="2" t="str">
        <f>IF(A1357="","",C1357*'Loan Inputs'!$B$15)</f>
        <v/>
      </c>
      <c r="F1357" s="2" t="str">
        <f t="shared" si="63"/>
        <v/>
      </c>
      <c r="G1357" s="2" t="str">
        <f t="shared" si="64"/>
        <v/>
      </c>
      <c r="H1357" s="2" t="str">
        <f>IF(A1357="","",MIN('Loan Inputs'!$B$18,MAX(0,C1357+E1357-'Loan Inputs'!$B$17)))</f>
        <v/>
      </c>
    </row>
    <row r="1358" spans="1:8" ht="22" customHeight="1">
      <c r="A1358" s="1" t="str">
        <f>IF(AND('Loan Inputs'!$B$12,1352&lt;=IF('Loan Inputs'!$B$12,'Loan Inputs'!$B$7,0)*'Loan Inputs'!$B$14+5*'Loan Inputs'!$B$14,ISNUMBER(G1357),G1357&gt;0),1352,"")</f>
        <v/>
      </c>
      <c r="B1358" s="4" t="str">
        <f>IF(A1358="","",IF('Loan Inputs'!$B$14=12,DATE(YEAR('Loan Inputs'!$B$8),MONTH('Loan Inputs'!$B$8)+A1358,DAY('Loan Inputs'!$B$8)),'Loan Inputs'!$B$8+A1358*IF('Loan Inputs'!$B$14=26,14,7)))</f>
        <v/>
      </c>
      <c r="C1358" s="2" t="str">
        <f t="shared" si="65"/>
        <v/>
      </c>
      <c r="D1358" s="2" t="str">
        <f>IF(A1358="","",MIN('Loan Inputs'!$B$17,C1358+E1358)+H1358)</f>
        <v/>
      </c>
      <c r="E1358" s="2" t="str">
        <f>IF(A1358="","",C1358*'Loan Inputs'!$B$15)</f>
        <v/>
      </c>
      <c r="F1358" s="2" t="str">
        <f t="shared" si="63"/>
        <v/>
      </c>
      <c r="G1358" s="2" t="str">
        <f t="shared" si="64"/>
        <v/>
      </c>
      <c r="H1358" s="2" t="str">
        <f>IF(A1358="","",MIN('Loan Inputs'!$B$18,MAX(0,C1358+E1358-'Loan Inputs'!$B$17)))</f>
        <v/>
      </c>
    </row>
    <row r="1359" spans="1:8" ht="22" customHeight="1">
      <c r="A1359" s="1" t="str">
        <f>IF(AND('Loan Inputs'!$B$12,1353&lt;=IF('Loan Inputs'!$B$12,'Loan Inputs'!$B$7,0)*'Loan Inputs'!$B$14+5*'Loan Inputs'!$B$14,ISNUMBER(G1358),G1358&gt;0),1353,"")</f>
        <v/>
      </c>
      <c r="B1359" s="4" t="str">
        <f>IF(A1359="","",IF('Loan Inputs'!$B$14=12,DATE(YEAR('Loan Inputs'!$B$8),MONTH('Loan Inputs'!$B$8)+A1359,DAY('Loan Inputs'!$B$8)),'Loan Inputs'!$B$8+A1359*IF('Loan Inputs'!$B$14=26,14,7)))</f>
        <v/>
      </c>
      <c r="C1359" s="2" t="str">
        <f t="shared" si="65"/>
        <v/>
      </c>
      <c r="D1359" s="2" t="str">
        <f>IF(A1359="","",MIN('Loan Inputs'!$B$17,C1359+E1359)+H1359)</f>
        <v/>
      </c>
      <c r="E1359" s="2" t="str">
        <f>IF(A1359="","",C1359*'Loan Inputs'!$B$15)</f>
        <v/>
      </c>
      <c r="F1359" s="2" t="str">
        <f t="shared" si="63"/>
        <v/>
      </c>
      <c r="G1359" s="2" t="str">
        <f t="shared" si="64"/>
        <v/>
      </c>
      <c r="H1359" s="2" t="str">
        <f>IF(A1359="","",MIN('Loan Inputs'!$B$18,MAX(0,C1359+E1359-'Loan Inputs'!$B$17)))</f>
        <v/>
      </c>
    </row>
    <row r="1360" spans="1:8" ht="22" customHeight="1">
      <c r="A1360" s="1" t="str">
        <f>IF(AND('Loan Inputs'!$B$12,1354&lt;=IF('Loan Inputs'!$B$12,'Loan Inputs'!$B$7,0)*'Loan Inputs'!$B$14+5*'Loan Inputs'!$B$14,ISNUMBER(G1359),G1359&gt;0),1354,"")</f>
        <v/>
      </c>
      <c r="B1360" s="4" t="str">
        <f>IF(A1360="","",IF('Loan Inputs'!$B$14=12,DATE(YEAR('Loan Inputs'!$B$8),MONTH('Loan Inputs'!$B$8)+A1360,DAY('Loan Inputs'!$B$8)),'Loan Inputs'!$B$8+A1360*IF('Loan Inputs'!$B$14=26,14,7)))</f>
        <v/>
      </c>
      <c r="C1360" s="2" t="str">
        <f t="shared" si="65"/>
        <v/>
      </c>
      <c r="D1360" s="2" t="str">
        <f>IF(A1360="","",MIN('Loan Inputs'!$B$17,C1360+E1360)+H1360)</f>
        <v/>
      </c>
      <c r="E1360" s="2" t="str">
        <f>IF(A1360="","",C1360*'Loan Inputs'!$B$15)</f>
        <v/>
      </c>
      <c r="F1360" s="2" t="str">
        <f t="shared" si="63"/>
        <v/>
      </c>
      <c r="G1360" s="2" t="str">
        <f t="shared" si="64"/>
        <v/>
      </c>
      <c r="H1360" s="2" t="str">
        <f>IF(A1360="","",MIN('Loan Inputs'!$B$18,MAX(0,C1360+E1360-'Loan Inputs'!$B$17)))</f>
        <v/>
      </c>
    </row>
    <row r="1361" spans="1:8" ht="22" customHeight="1">
      <c r="A1361" s="1" t="str">
        <f>IF(AND('Loan Inputs'!$B$12,1355&lt;=IF('Loan Inputs'!$B$12,'Loan Inputs'!$B$7,0)*'Loan Inputs'!$B$14+5*'Loan Inputs'!$B$14,ISNUMBER(G1360),G1360&gt;0),1355,"")</f>
        <v/>
      </c>
      <c r="B1361" s="4" t="str">
        <f>IF(A1361="","",IF('Loan Inputs'!$B$14=12,DATE(YEAR('Loan Inputs'!$B$8),MONTH('Loan Inputs'!$B$8)+A1361,DAY('Loan Inputs'!$B$8)),'Loan Inputs'!$B$8+A1361*IF('Loan Inputs'!$B$14=26,14,7)))</f>
        <v/>
      </c>
      <c r="C1361" s="2" t="str">
        <f t="shared" si="65"/>
        <v/>
      </c>
      <c r="D1361" s="2" t="str">
        <f>IF(A1361="","",MIN('Loan Inputs'!$B$17,C1361+E1361)+H1361)</f>
        <v/>
      </c>
      <c r="E1361" s="2" t="str">
        <f>IF(A1361="","",C1361*'Loan Inputs'!$B$15)</f>
        <v/>
      </c>
      <c r="F1361" s="2" t="str">
        <f t="shared" si="63"/>
        <v/>
      </c>
      <c r="G1361" s="2" t="str">
        <f t="shared" si="64"/>
        <v/>
      </c>
      <c r="H1361" s="2" t="str">
        <f>IF(A1361="","",MIN('Loan Inputs'!$B$18,MAX(0,C1361+E1361-'Loan Inputs'!$B$17)))</f>
        <v/>
      </c>
    </row>
    <row r="1362" spans="1:8" ht="22" customHeight="1">
      <c r="A1362" s="1" t="str">
        <f>IF(AND('Loan Inputs'!$B$12,1356&lt;=IF('Loan Inputs'!$B$12,'Loan Inputs'!$B$7,0)*'Loan Inputs'!$B$14+5*'Loan Inputs'!$B$14,ISNUMBER(G1361),G1361&gt;0),1356,"")</f>
        <v/>
      </c>
      <c r="B1362" s="4" t="str">
        <f>IF(A1362="","",IF('Loan Inputs'!$B$14=12,DATE(YEAR('Loan Inputs'!$B$8),MONTH('Loan Inputs'!$B$8)+A1362,DAY('Loan Inputs'!$B$8)),'Loan Inputs'!$B$8+A1362*IF('Loan Inputs'!$B$14=26,14,7)))</f>
        <v/>
      </c>
      <c r="C1362" s="2" t="str">
        <f t="shared" si="65"/>
        <v/>
      </c>
      <c r="D1362" s="2" t="str">
        <f>IF(A1362="","",MIN('Loan Inputs'!$B$17,C1362+E1362)+H1362)</f>
        <v/>
      </c>
      <c r="E1362" s="2" t="str">
        <f>IF(A1362="","",C1362*'Loan Inputs'!$B$15)</f>
        <v/>
      </c>
      <c r="F1362" s="2" t="str">
        <f t="shared" si="63"/>
        <v/>
      </c>
      <c r="G1362" s="2" t="str">
        <f t="shared" si="64"/>
        <v/>
      </c>
      <c r="H1362" s="2" t="str">
        <f>IF(A1362="","",MIN('Loan Inputs'!$B$18,MAX(0,C1362+E1362-'Loan Inputs'!$B$17)))</f>
        <v/>
      </c>
    </row>
    <row r="1363" spans="1:8" ht="22" customHeight="1">
      <c r="A1363" s="1" t="str">
        <f>IF(AND('Loan Inputs'!$B$12,1357&lt;=IF('Loan Inputs'!$B$12,'Loan Inputs'!$B$7,0)*'Loan Inputs'!$B$14+5*'Loan Inputs'!$B$14,ISNUMBER(G1362),G1362&gt;0),1357,"")</f>
        <v/>
      </c>
      <c r="B1363" s="4" t="str">
        <f>IF(A1363="","",IF('Loan Inputs'!$B$14=12,DATE(YEAR('Loan Inputs'!$B$8),MONTH('Loan Inputs'!$B$8)+A1363,DAY('Loan Inputs'!$B$8)),'Loan Inputs'!$B$8+A1363*IF('Loan Inputs'!$B$14=26,14,7)))</f>
        <v/>
      </c>
      <c r="C1363" s="2" t="str">
        <f t="shared" si="65"/>
        <v/>
      </c>
      <c r="D1363" s="2" t="str">
        <f>IF(A1363="","",MIN('Loan Inputs'!$B$17,C1363+E1363)+H1363)</f>
        <v/>
      </c>
      <c r="E1363" s="2" t="str">
        <f>IF(A1363="","",C1363*'Loan Inputs'!$B$15)</f>
        <v/>
      </c>
      <c r="F1363" s="2" t="str">
        <f t="shared" si="63"/>
        <v/>
      </c>
      <c r="G1363" s="2" t="str">
        <f t="shared" si="64"/>
        <v/>
      </c>
      <c r="H1363" s="2" t="str">
        <f>IF(A1363="","",MIN('Loan Inputs'!$B$18,MAX(0,C1363+E1363-'Loan Inputs'!$B$17)))</f>
        <v/>
      </c>
    </row>
    <row r="1364" spans="1:8" ht="22" customHeight="1">
      <c r="A1364" s="1" t="str">
        <f>IF(AND('Loan Inputs'!$B$12,1358&lt;=IF('Loan Inputs'!$B$12,'Loan Inputs'!$B$7,0)*'Loan Inputs'!$B$14+5*'Loan Inputs'!$B$14,ISNUMBER(G1363),G1363&gt;0),1358,"")</f>
        <v/>
      </c>
      <c r="B1364" s="4" t="str">
        <f>IF(A1364="","",IF('Loan Inputs'!$B$14=12,DATE(YEAR('Loan Inputs'!$B$8),MONTH('Loan Inputs'!$B$8)+A1364,DAY('Loan Inputs'!$B$8)),'Loan Inputs'!$B$8+A1364*IF('Loan Inputs'!$B$14=26,14,7)))</f>
        <v/>
      </c>
      <c r="C1364" s="2" t="str">
        <f t="shared" si="65"/>
        <v/>
      </c>
      <c r="D1364" s="2" t="str">
        <f>IF(A1364="","",MIN('Loan Inputs'!$B$17,C1364+E1364)+H1364)</f>
        <v/>
      </c>
      <c r="E1364" s="2" t="str">
        <f>IF(A1364="","",C1364*'Loan Inputs'!$B$15)</f>
        <v/>
      </c>
      <c r="F1364" s="2" t="str">
        <f t="shared" si="63"/>
        <v/>
      </c>
      <c r="G1364" s="2" t="str">
        <f t="shared" si="64"/>
        <v/>
      </c>
      <c r="H1364" s="2" t="str">
        <f>IF(A1364="","",MIN('Loan Inputs'!$B$18,MAX(0,C1364+E1364-'Loan Inputs'!$B$17)))</f>
        <v/>
      </c>
    </row>
    <row r="1365" spans="1:8" ht="22" customHeight="1">
      <c r="A1365" s="1" t="str">
        <f>IF(AND('Loan Inputs'!$B$12,1359&lt;=IF('Loan Inputs'!$B$12,'Loan Inputs'!$B$7,0)*'Loan Inputs'!$B$14+5*'Loan Inputs'!$B$14,ISNUMBER(G1364),G1364&gt;0),1359,"")</f>
        <v/>
      </c>
      <c r="B1365" s="4" t="str">
        <f>IF(A1365="","",IF('Loan Inputs'!$B$14=12,DATE(YEAR('Loan Inputs'!$B$8),MONTH('Loan Inputs'!$B$8)+A1365,DAY('Loan Inputs'!$B$8)),'Loan Inputs'!$B$8+A1365*IF('Loan Inputs'!$B$14=26,14,7)))</f>
        <v/>
      </c>
      <c r="C1365" s="2" t="str">
        <f t="shared" si="65"/>
        <v/>
      </c>
      <c r="D1365" s="2" t="str">
        <f>IF(A1365="","",MIN('Loan Inputs'!$B$17,C1365+E1365)+H1365)</f>
        <v/>
      </c>
      <c r="E1365" s="2" t="str">
        <f>IF(A1365="","",C1365*'Loan Inputs'!$B$15)</f>
        <v/>
      </c>
      <c r="F1365" s="2" t="str">
        <f t="shared" si="63"/>
        <v/>
      </c>
      <c r="G1365" s="2" t="str">
        <f t="shared" si="64"/>
        <v/>
      </c>
      <c r="H1365" s="2" t="str">
        <f>IF(A1365="","",MIN('Loan Inputs'!$B$18,MAX(0,C1365+E1365-'Loan Inputs'!$B$17)))</f>
        <v/>
      </c>
    </row>
    <row r="1366" spans="1:8" ht="22" customHeight="1">
      <c r="A1366" s="1" t="str">
        <f>IF(AND('Loan Inputs'!$B$12,1360&lt;=IF('Loan Inputs'!$B$12,'Loan Inputs'!$B$7,0)*'Loan Inputs'!$B$14+5*'Loan Inputs'!$B$14,ISNUMBER(G1365),G1365&gt;0),1360,"")</f>
        <v/>
      </c>
      <c r="B1366" s="4" t="str">
        <f>IF(A1366="","",IF('Loan Inputs'!$B$14=12,DATE(YEAR('Loan Inputs'!$B$8),MONTH('Loan Inputs'!$B$8)+A1366,DAY('Loan Inputs'!$B$8)),'Loan Inputs'!$B$8+A1366*IF('Loan Inputs'!$B$14=26,14,7)))</f>
        <v/>
      </c>
      <c r="C1366" s="2" t="str">
        <f t="shared" si="65"/>
        <v/>
      </c>
      <c r="D1366" s="2" t="str">
        <f>IF(A1366="","",MIN('Loan Inputs'!$B$17,C1366+E1366)+H1366)</f>
        <v/>
      </c>
      <c r="E1366" s="2" t="str">
        <f>IF(A1366="","",C1366*'Loan Inputs'!$B$15)</f>
        <v/>
      </c>
      <c r="F1366" s="2" t="str">
        <f t="shared" si="63"/>
        <v/>
      </c>
      <c r="G1366" s="2" t="str">
        <f t="shared" si="64"/>
        <v/>
      </c>
      <c r="H1366" s="2" t="str">
        <f>IF(A1366="","",MIN('Loan Inputs'!$B$18,MAX(0,C1366+E1366-'Loan Inputs'!$B$17)))</f>
        <v/>
      </c>
    </row>
    <row r="1367" spans="1:8" ht="22" customHeight="1">
      <c r="A1367" s="1" t="str">
        <f>IF(AND('Loan Inputs'!$B$12,1361&lt;=IF('Loan Inputs'!$B$12,'Loan Inputs'!$B$7,0)*'Loan Inputs'!$B$14+5*'Loan Inputs'!$B$14,ISNUMBER(G1366),G1366&gt;0),1361,"")</f>
        <v/>
      </c>
      <c r="B1367" s="4" t="str">
        <f>IF(A1367="","",IF('Loan Inputs'!$B$14=12,DATE(YEAR('Loan Inputs'!$B$8),MONTH('Loan Inputs'!$B$8)+A1367,DAY('Loan Inputs'!$B$8)),'Loan Inputs'!$B$8+A1367*IF('Loan Inputs'!$B$14=26,14,7)))</f>
        <v/>
      </c>
      <c r="C1367" s="2" t="str">
        <f t="shared" si="65"/>
        <v/>
      </c>
      <c r="D1367" s="2" t="str">
        <f>IF(A1367="","",MIN('Loan Inputs'!$B$17,C1367+E1367)+H1367)</f>
        <v/>
      </c>
      <c r="E1367" s="2" t="str">
        <f>IF(A1367="","",C1367*'Loan Inputs'!$B$15)</f>
        <v/>
      </c>
      <c r="F1367" s="2" t="str">
        <f t="shared" si="63"/>
        <v/>
      </c>
      <c r="G1367" s="2" t="str">
        <f t="shared" si="64"/>
        <v/>
      </c>
      <c r="H1367" s="2" t="str">
        <f>IF(A1367="","",MIN('Loan Inputs'!$B$18,MAX(0,C1367+E1367-'Loan Inputs'!$B$17)))</f>
        <v/>
      </c>
    </row>
    <row r="1368" spans="1:8" ht="22" customHeight="1">
      <c r="A1368" s="1" t="str">
        <f>IF(AND('Loan Inputs'!$B$12,1362&lt;=IF('Loan Inputs'!$B$12,'Loan Inputs'!$B$7,0)*'Loan Inputs'!$B$14+5*'Loan Inputs'!$B$14,ISNUMBER(G1367),G1367&gt;0),1362,"")</f>
        <v/>
      </c>
      <c r="B1368" s="4" t="str">
        <f>IF(A1368="","",IF('Loan Inputs'!$B$14=12,DATE(YEAR('Loan Inputs'!$B$8),MONTH('Loan Inputs'!$B$8)+A1368,DAY('Loan Inputs'!$B$8)),'Loan Inputs'!$B$8+A1368*IF('Loan Inputs'!$B$14=26,14,7)))</f>
        <v/>
      </c>
      <c r="C1368" s="2" t="str">
        <f t="shared" si="65"/>
        <v/>
      </c>
      <c r="D1368" s="2" t="str">
        <f>IF(A1368="","",MIN('Loan Inputs'!$B$17,C1368+E1368)+H1368)</f>
        <v/>
      </c>
      <c r="E1368" s="2" t="str">
        <f>IF(A1368="","",C1368*'Loan Inputs'!$B$15)</f>
        <v/>
      </c>
      <c r="F1368" s="2" t="str">
        <f t="shared" si="63"/>
        <v/>
      </c>
      <c r="G1368" s="2" t="str">
        <f t="shared" si="64"/>
        <v/>
      </c>
      <c r="H1368" s="2" t="str">
        <f>IF(A1368="","",MIN('Loan Inputs'!$B$18,MAX(0,C1368+E1368-'Loan Inputs'!$B$17)))</f>
        <v/>
      </c>
    </row>
    <row r="1369" spans="1:8" ht="22" customHeight="1">
      <c r="A1369" s="1" t="str">
        <f>IF(AND('Loan Inputs'!$B$12,1363&lt;=IF('Loan Inputs'!$B$12,'Loan Inputs'!$B$7,0)*'Loan Inputs'!$B$14+5*'Loan Inputs'!$B$14,ISNUMBER(G1368),G1368&gt;0),1363,"")</f>
        <v/>
      </c>
      <c r="B1369" s="4" t="str">
        <f>IF(A1369="","",IF('Loan Inputs'!$B$14=12,DATE(YEAR('Loan Inputs'!$B$8),MONTH('Loan Inputs'!$B$8)+A1369,DAY('Loan Inputs'!$B$8)),'Loan Inputs'!$B$8+A1369*IF('Loan Inputs'!$B$14=26,14,7)))</f>
        <v/>
      </c>
      <c r="C1369" s="2" t="str">
        <f t="shared" si="65"/>
        <v/>
      </c>
      <c r="D1369" s="2" t="str">
        <f>IF(A1369="","",MIN('Loan Inputs'!$B$17,C1369+E1369)+H1369)</f>
        <v/>
      </c>
      <c r="E1369" s="2" t="str">
        <f>IF(A1369="","",C1369*'Loan Inputs'!$B$15)</f>
        <v/>
      </c>
      <c r="F1369" s="2" t="str">
        <f t="shared" si="63"/>
        <v/>
      </c>
      <c r="G1369" s="2" t="str">
        <f t="shared" si="64"/>
        <v/>
      </c>
      <c r="H1369" s="2" t="str">
        <f>IF(A1369="","",MIN('Loan Inputs'!$B$18,MAX(0,C1369+E1369-'Loan Inputs'!$B$17)))</f>
        <v/>
      </c>
    </row>
    <row r="1370" spans="1:8" ht="22" customHeight="1">
      <c r="A1370" s="1" t="str">
        <f>IF(AND('Loan Inputs'!$B$12,1364&lt;=IF('Loan Inputs'!$B$12,'Loan Inputs'!$B$7,0)*'Loan Inputs'!$B$14+5*'Loan Inputs'!$B$14,ISNUMBER(G1369),G1369&gt;0),1364,"")</f>
        <v/>
      </c>
      <c r="B1370" s="4" t="str">
        <f>IF(A1370="","",IF('Loan Inputs'!$B$14=12,DATE(YEAR('Loan Inputs'!$B$8),MONTH('Loan Inputs'!$B$8)+A1370,DAY('Loan Inputs'!$B$8)),'Loan Inputs'!$B$8+A1370*IF('Loan Inputs'!$B$14=26,14,7)))</f>
        <v/>
      </c>
      <c r="C1370" s="2" t="str">
        <f t="shared" si="65"/>
        <v/>
      </c>
      <c r="D1370" s="2" t="str">
        <f>IF(A1370="","",MIN('Loan Inputs'!$B$17,C1370+E1370)+H1370)</f>
        <v/>
      </c>
      <c r="E1370" s="2" t="str">
        <f>IF(A1370="","",C1370*'Loan Inputs'!$B$15)</f>
        <v/>
      </c>
      <c r="F1370" s="2" t="str">
        <f t="shared" si="63"/>
        <v/>
      </c>
      <c r="G1370" s="2" t="str">
        <f t="shared" si="64"/>
        <v/>
      </c>
      <c r="H1370" s="2" t="str">
        <f>IF(A1370="","",MIN('Loan Inputs'!$B$18,MAX(0,C1370+E1370-'Loan Inputs'!$B$17)))</f>
        <v/>
      </c>
    </row>
    <row r="1371" spans="1:8" ht="22" customHeight="1">
      <c r="A1371" s="1" t="str">
        <f>IF(AND('Loan Inputs'!$B$12,1365&lt;=IF('Loan Inputs'!$B$12,'Loan Inputs'!$B$7,0)*'Loan Inputs'!$B$14+5*'Loan Inputs'!$B$14,ISNUMBER(G1370),G1370&gt;0),1365,"")</f>
        <v/>
      </c>
      <c r="B1371" s="4" t="str">
        <f>IF(A1371="","",IF('Loan Inputs'!$B$14=12,DATE(YEAR('Loan Inputs'!$B$8),MONTH('Loan Inputs'!$B$8)+A1371,DAY('Loan Inputs'!$B$8)),'Loan Inputs'!$B$8+A1371*IF('Loan Inputs'!$B$14=26,14,7)))</f>
        <v/>
      </c>
      <c r="C1371" s="2" t="str">
        <f t="shared" si="65"/>
        <v/>
      </c>
      <c r="D1371" s="2" t="str">
        <f>IF(A1371="","",MIN('Loan Inputs'!$B$17,C1371+E1371)+H1371)</f>
        <v/>
      </c>
      <c r="E1371" s="2" t="str">
        <f>IF(A1371="","",C1371*'Loan Inputs'!$B$15)</f>
        <v/>
      </c>
      <c r="F1371" s="2" t="str">
        <f t="shared" si="63"/>
        <v/>
      </c>
      <c r="G1371" s="2" t="str">
        <f t="shared" si="64"/>
        <v/>
      </c>
      <c r="H1371" s="2" t="str">
        <f>IF(A1371="","",MIN('Loan Inputs'!$B$18,MAX(0,C1371+E1371-'Loan Inputs'!$B$17)))</f>
        <v/>
      </c>
    </row>
    <row r="1372" spans="1:8" ht="22" customHeight="1">
      <c r="A1372" s="1" t="str">
        <f>IF(AND('Loan Inputs'!$B$12,1366&lt;=IF('Loan Inputs'!$B$12,'Loan Inputs'!$B$7,0)*'Loan Inputs'!$B$14+5*'Loan Inputs'!$B$14,ISNUMBER(G1371),G1371&gt;0),1366,"")</f>
        <v/>
      </c>
      <c r="B1372" s="4" t="str">
        <f>IF(A1372="","",IF('Loan Inputs'!$B$14=12,DATE(YEAR('Loan Inputs'!$B$8),MONTH('Loan Inputs'!$B$8)+A1372,DAY('Loan Inputs'!$B$8)),'Loan Inputs'!$B$8+A1372*IF('Loan Inputs'!$B$14=26,14,7)))</f>
        <v/>
      </c>
      <c r="C1372" s="2" t="str">
        <f t="shared" si="65"/>
        <v/>
      </c>
      <c r="D1372" s="2" t="str">
        <f>IF(A1372="","",MIN('Loan Inputs'!$B$17,C1372+E1372)+H1372)</f>
        <v/>
      </c>
      <c r="E1372" s="2" t="str">
        <f>IF(A1372="","",C1372*'Loan Inputs'!$B$15)</f>
        <v/>
      </c>
      <c r="F1372" s="2" t="str">
        <f t="shared" si="63"/>
        <v/>
      </c>
      <c r="G1372" s="2" t="str">
        <f t="shared" si="64"/>
        <v/>
      </c>
      <c r="H1372" s="2" t="str">
        <f>IF(A1372="","",MIN('Loan Inputs'!$B$18,MAX(0,C1372+E1372-'Loan Inputs'!$B$17)))</f>
        <v/>
      </c>
    </row>
    <row r="1373" spans="1:8" ht="22" customHeight="1">
      <c r="A1373" s="1" t="str">
        <f>IF(AND('Loan Inputs'!$B$12,1367&lt;=IF('Loan Inputs'!$B$12,'Loan Inputs'!$B$7,0)*'Loan Inputs'!$B$14+5*'Loan Inputs'!$B$14,ISNUMBER(G1372),G1372&gt;0),1367,"")</f>
        <v/>
      </c>
      <c r="B1373" s="4" t="str">
        <f>IF(A1373="","",IF('Loan Inputs'!$B$14=12,DATE(YEAR('Loan Inputs'!$B$8),MONTH('Loan Inputs'!$B$8)+A1373,DAY('Loan Inputs'!$B$8)),'Loan Inputs'!$B$8+A1373*IF('Loan Inputs'!$B$14=26,14,7)))</f>
        <v/>
      </c>
      <c r="C1373" s="2" t="str">
        <f t="shared" si="65"/>
        <v/>
      </c>
      <c r="D1373" s="2" t="str">
        <f>IF(A1373="","",MIN('Loan Inputs'!$B$17,C1373+E1373)+H1373)</f>
        <v/>
      </c>
      <c r="E1373" s="2" t="str">
        <f>IF(A1373="","",C1373*'Loan Inputs'!$B$15)</f>
        <v/>
      </c>
      <c r="F1373" s="2" t="str">
        <f t="shared" si="63"/>
        <v/>
      </c>
      <c r="G1373" s="2" t="str">
        <f t="shared" si="64"/>
        <v/>
      </c>
      <c r="H1373" s="2" t="str">
        <f>IF(A1373="","",MIN('Loan Inputs'!$B$18,MAX(0,C1373+E1373-'Loan Inputs'!$B$17)))</f>
        <v/>
      </c>
    </row>
    <row r="1374" spans="1:8" ht="22" customHeight="1">
      <c r="A1374" s="1" t="str">
        <f>IF(AND('Loan Inputs'!$B$12,1368&lt;=IF('Loan Inputs'!$B$12,'Loan Inputs'!$B$7,0)*'Loan Inputs'!$B$14+5*'Loan Inputs'!$B$14,ISNUMBER(G1373),G1373&gt;0),1368,"")</f>
        <v/>
      </c>
      <c r="B1374" s="4" t="str">
        <f>IF(A1374="","",IF('Loan Inputs'!$B$14=12,DATE(YEAR('Loan Inputs'!$B$8),MONTH('Loan Inputs'!$B$8)+A1374,DAY('Loan Inputs'!$B$8)),'Loan Inputs'!$B$8+A1374*IF('Loan Inputs'!$B$14=26,14,7)))</f>
        <v/>
      </c>
      <c r="C1374" s="2" t="str">
        <f t="shared" si="65"/>
        <v/>
      </c>
      <c r="D1374" s="2" t="str">
        <f>IF(A1374="","",MIN('Loan Inputs'!$B$17,C1374+E1374)+H1374)</f>
        <v/>
      </c>
      <c r="E1374" s="2" t="str">
        <f>IF(A1374="","",C1374*'Loan Inputs'!$B$15)</f>
        <v/>
      </c>
      <c r="F1374" s="2" t="str">
        <f t="shared" si="63"/>
        <v/>
      </c>
      <c r="G1374" s="2" t="str">
        <f t="shared" si="64"/>
        <v/>
      </c>
      <c r="H1374" s="2" t="str">
        <f>IF(A1374="","",MIN('Loan Inputs'!$B$18,MAX(0,C1374+E1374-'Loan Inputs'!$B$17)))</f>
        <v/>
      </c>
    </row>
    <row r="1375" spans="1:8" ht="22" customHeight="1">
      <c r="A1375" s="1" t="str">
        <f>IF(AND('Loan Inputs'!$B$12,1369&lt;=IF('Loan Inputs'!$B$12,'Loan Inputs'!$B$7,0)*'Loan Inputs'!$B$14+5*'Loan Inputs'!$B$14,ISNUMBER(G1374),G1374&gt;0),1369,"")</f>
        <v/>
      </c>
      <c r="B1375" s="4" t="str">
        <f>IF(A1375="","",IF('Loan Inputs'!$B$14=12,DATE(YEAR('Loan Inputs'!$B$8),MONTH('Loan Inputs'!$B$8)+A1375,DAY('Loan Inputs'!$B$8)),'Loan Inputs'!$B$8+A1375*IF('Loan Inputs'!$B$14=26,14,7)))</f>
        <v/>
      </c>
      <c r="C1375" s="2" t="str">
        <f t="shared" si="65"/>
        <v/>
      </c>
      <c r="D1375" s="2" t="str">
        <f>IF(A1375="","",MIN('Loan Inputs'!$B$17,C1375+E1375)+H1375)</f>
        <v/>
      </c>
      <c r="E1375" s="2" t="str">
        <f>IF(A1375="","",C1375*'Loan Inputs'!$B$15)</f>
        <v/>
      </c>
      <c r="F1375" s="2" t="str">
        <f t="shared" si="63"/>
        <v/>
      </c>
      <c r="G1375" s="2" t="str">
        <f t="shared" si="64"/>
        <v/>
      </c>
      <c r="H1375" s="2" t="str">
        <f>IF(A1375="","",MIN('Loan Inputs'!$B$18,MAX(0,C1375+E1375-'Loan Inputs'!$B$17)))</f>
        <v/>
      </c>
    </row>
    <row r="1376" spans="1:8" ht="22" customHeight="1">
      <c r="A1376" s="1" t="str">
        <f>IF(AND('Loan Inputs'!$B$12,1370&lt;=IF('Loan Inputs'!$B$12,'Loan Inputs'!$B$7,0)*'Loan Inputs'!$B$14+5*'Loan Inputs'!$B$14,ISNUMBER(G1375),G1375&gt;0),1370,"")</f>
        <v/>
      </c>
      <c r="B1376" s="4" t="str">
        <f>IF(A1376="","",IF('Loan Inputs'!$B$14=12,DATE(YEAR('Loan Inputs'!$B$8),MONTH('Loan Inputs'!$B$8)+A1376,DAY('Loan Inputs'!$B$8)),'Loan Inputs'!$B$8+A1376*IF('Loan Inputs'!$B$14=26,14,7)))</f>
        <v/>
      </c>
      <c r="C1376" s="2" t="str">
        <f t="shared" si="65"/>
        <v/>
      </c>
      <c r="D1376" s="2" t="str">
        <f>IF(A1376="","",MIN('Loan Inputs'!$B$17,C1376+E1376)+H1376)</f>
        <v/>
      </c>
      <c r="E1376" s="2" t="str">
        <f>IF(A1376="","",C1376*'Loan Inputs'!$B$15)</f>
        <v/>
      </c>
      <c r="F1376" s="2" t="str">
        <f t="shared" si="63"/>
        <v/>
      </c>
      <c r="G1376" s="2" t="str">
        <f t="shared" si="64"/>
        <v/>
      </c>
      <c r="H1376" s="2" t="str">
        <f>IF(A1376="","",MIN('Loan Inputs'!$B$18,MAX(0,C1376+E1376-'Loan Inputs'!$B$17)))</f>
        <v/>
      </c>
    </row>
    <row r="1377" spans="1:8" ht="22" customHeight="1">
      <c r="A1377" s="1" t="str">
        <f>IF(AND('Loan Inputs'!$B$12,1371&lt;=IF('Loan Inputs'!$B$12,'Loan Inputs'!$B$7,0)*'Loan Inputs'!$B$14+5*'Loan Inputs'!$B$14,ISNUMBER(G1376),G1376&gt;0),1371,"")</f>
        <v/>
      </c>
      <c r="B1377" s="4" t="str">
        <f>IF(A1377="","",IF('Loan Inputs'!$B$14=12,DATE(YEAR('Loan Inputs'!$B$8),MONTH('Loan Inputs'!$B$8)+A1377,DAY('Loan Inputs'!$B$8)),'Loan Inputs'!$B$8+A1377*IF('Loan Inputs'!$B$14=26,14,7)))</f>
        <v/>
      </c>
      <c r="C1377" s="2" t="str">
        <f t="shared" si="65"/>
        <v/>
      </c>
      <c r="D1377" s="2" t="str">
        <f>IF(A1377="","",MIN('Loan Inputs'!$B$17,C1377+E1377)+H1377)</f>
        <v/>
      </c>
      <c r="E1377" s="2" t="str">
        <f>IF(A1377="","",C1377*'Loan Inputs'!$B$15)</f>
        <v/>
      </c>
      <c r="F1377" s="2" t="str">
        <f t="shared" si="63"/>
        <v/>
      </c>
      <c r="G1377" s="2" t="str">
        <f t="shared" si="64"/>
        <v/>
      </c>
      <c r="H1377" s="2" t="str">
        <f>IF(A1377="","",MIN('Loan Inputs'!$B$18,MAX(0,C1377+E1377-'Loan Inputs'!$B$17)))</f>
        <v/>
      </c>
    </row>
    <row r="1378" spans="1:8" ht="22" customHeight="1">
      <c r="A1378" s="1" t="str">
        <f>IF(AND('Loan Inputs'!$B$12,1372&lt;=IF('Loan Inputs'!$B$12,'Loan Inputs'!$B$7,0)*'Loan Inputs'!$B$14+5*'Loan Inputs'!$B$14,ISNUMBER(G1377),G1377&gt;0),1372,"")</f>
        <v/>
      </c>
      <c r="B1378" s="4" t="str">
        <f>IF(A1378="","",IF('Loan Inputs'!$B$14=12,DATE(YEAR('Loan Inputs'!$B$8),MONTH('Loan Inputs'!$B$8)+A1378,DAY('Loan Inputs'!$B$8)),'Loan Inputs'!$B$8+A1378*IF('Loan Inputs'!$B$14=26,14,7)))</f>
        <v/>
      </c>
      <c r="C1378" s="2" t="str">
        <f t="shared" si="65"/>
        <v/>
      </c>
      <c r="D1378" s="2" t="str">
        <f>IF(A1378="","",MIN('Loan Inputs'!$B$17,C1378+E1378)+H1378)</f>
        <v/>
      </c>
      <c r="E1378" s="2" t="str">
        <f>IF(A1378="","",C1378*'Loan Inputs'!$B$15)</f>
        <v/>
      </c>
      <c r="F1378" s="2" t="str">
        <f t="shared" si="63"/>
        <v/>
      </c>
      <c r="G1378" s="2" t="str">
        <f t="shared" si="64"/>
        <v/>
      </c>
      <c r="H1378" s="2" t="str">
        <f>IF(A1378="","",MIN('Loan Inputs'!$B$18,MAX(0,C1378+E1378-'Loan Inputs'!$B$17)))</f>
        <v/>
      </c>
    </row>
    <row r="1379" spans="1:8" ht="22" customHeight="1">
      <c r="A1379" s="1" t="str">
        <f>IF(AND('Loan Inputs'!$B$12,1373&lt;=IF('Loan Inputs'!$B$12,'Loan Inputs'!$B$7,0)*'Loan Inputs'!$B$14+5*'Loan Inputs'!$B$14,ISNUMBER(G1378),G1378&gt;0),1373,"")</f>
        <v/>
      </c>
      <c r="B1379" s="4" t="str">
        <f>IF(A1379="","",IF('Loan Inputs'!$B$14=12,DATE(YEAR('Loan Inputs'!$B$8),MONTH('Loan Inputs'!$B$8)+A1379,DAY('Loan Inputs'!$B$8)),'Loan Inputs'!$B$8+A1379*IF('Loan Inputs'!$B$14=26,14,7)))</f>
        <v/>
      </c>
      <c r="C1379" s="2" t="str">
        <f t="shared" si="65"/>
        <v/>
      </c>
      <c r="D1379" s="2" t="str">
        <f>IF(A1379="","",MIN('Loan Inputs'!$B$17,C1379+E1379)+H1379)</f>
        <v/>
      </c>
      <c r="E1379" s="2" t="str">
        <f>IF(A1379="","",C1379*'Loan Inputs'!$B$15)</f>
        <v/>
      </c>
      <c r="F1379" s="2" t="str">
        <f t="shared" si="63"/>
        <v/>
      </c>
      <c r="G1379" s="2" t="str">
        <f t="shared" si="64"/>
        <v/>
      </c>
      <c r="H1379" s="2" t="str">
        <f>IF(A1379="","",MIN('Loan Inputs'!$B$18,MAX(0,C1379+E1379-'Loan Inputs'!$B$17)))</f>
        <v/>
      </c>
    </row>
    <row r="1380" spans="1:8" ht="22" customHeight="1">
      <c r="A1380" s="1" t="str">
        <f>IF(AND('Loan Inputs'!$B$12,1374&lt;=IF('Loan Inputs'!$B$12,'Loan Inputs'!$B$7,0)*'Loan Inputs'!$B$14+5*'Loan Inputs'!$B$14,ISNUMBER(G1379),G1379&gt;0),1374,"")</f>
        <v/>
      </c>
      <c r="B1380" s="4" t="str">
        <f>IF(A1380="","",IF('Loan Inputs'!$B$14=12,DATE(YEAR('Loan Inputs'!$B$8),MONTH('Loan Inputs'!$B$8)+A1380,DAY('Loan Inputs'!$B$8)),'Loan Inputs'!$B$8+A1380*IF('Loan Inputs'!$B$14=26,14,7)))</f>
        <v/>
      </c>
      <c r="C1380" s="2" t="str">
        <f t="shared" si="65"/>
        <v/>
      </c>
      <c r="D1380" s="2" t="str">
        <f>IF(A1380="","",MIN('Loan Inputs'!$B$17,C1380+E1380)+H1380)</f>
        <v/>
      </c>
      <c r="E1380" s="2" t="str">
        <f>IF(A1380="","",C1380*'Loan Inputs'!$B$15)</f>
        <v/>
      </c>
      <c r="F1380" s="2" t="str">
        <f t="shared" si="63"/>
        <v/>
      </c>
      <c r="G1380" s="2" t="str">
        <f t="shared" si="64"/>
        <v/>
      </c>
      <c r="H1380" s="2" t="str">
        <f>IF(A1380="","",MIN('Loan Inputs'!$B$18,MAX(0,C1380+E1380-'Loan Inputs'!$B$17)))</f>
        <v/>
      </c>
    </row>
    <row r="1381" spans="1:8" ht="22" customHeight="1">
      <c r="A1381" s="1" t="str">
        <f>IF(AND('Loan Inputs'!$B$12,1375&lt;=IF('Loan Inputs'!$B$12,'Loan Inputs'!$B$7,0)*'Loan Inputs'!$B$14+5*'Loan Inputs'!$B$14,ISNUMBER(G1380),G1380&gt;0),1375,"")</f>
        <v/>
      </c>
      <c r="B1381" s="4" t="str">
        <f>IF(A1381="","",IF('Loan Inputs'!$B$14=12,DATE(YEAR('Loan Inputs'!$B$8),MONTH('Loan Inputs'!$B$8)+A1381,DAY('Loan Inputs'!$B$8)),'Loan Inputs'!$B$8+A1381*IF('Loan Inputs'!$B$14=26,14,7)))</f>
        <v/>
      </c>
      <c r="C1381" s="2" t="str">
        <f t="shared" si="65"/>
        <v/>
      </c>
      <c r="D1381" s="2" t="str">
        <f>IF(A1381="","",MIN('Loan Inputs'!$B$17,C1381+E1381)+H1381)</f>
        <v/>
      </c>
      <c r="E1381" s="2" t="str">
        <f>IF(A1381="","",C1381*'Loan Inputs'!$B$15)</f>
        <v/>
      </c>
      <c r="F1381" s="2" t="str">
        <f t="shared" si="63"/>
        <v/>
      </c>
      <c r="G1381" s="2" t="str">
        <f t="shared" si="64"/>
        <v/>
      </c>
      <c r="H1381" s="2" t="str">
        <f>IF(A1381="","",MIN('Loan Inputs'!$B$18,MAX(0,C1381+E1381-'Loan Inputs'!$B$17)))</f>
        <v/>
      </c>
    </row>
    <row r="1382" spans="1:8" ht="22" customHeight="1">
      <c r="A1382" s="1" t="str">
        <f>IF(AND('Loan Inputs'!$B$12,1376&lt;=IF('Loan Inputs'!$B$12,'Loan Inputs'!$B$7,0)*'Loan Inputs'!$B$14+5*'Loan Inputs'!$B$14,ISNUMBER(G1381),G1381&gt;0),1376,"")</f>
        <v/>
      </c>
      <c r="B1382" s="4" t="str">
        <f>IF(A1382="","",IF('Loan Inputs'!$B$14=12,DATE(YEAR('Loan Inputs'!$B$8),MONTH('Loan Inputs'!$B$8)+A1382,DAY('Loan Inputs'!$B$8)),'Loan Inputs'!$B$8+A1382*IF('Loan Inputs'!$B$14=26,14,7)))</f>
        <v/>
      </c>
      <c r="C1382" s="2" t="str">
        <f t="shared" si="65"/>
        <v/>
      </c>
      <c r="D1382" s="2" t="str">
        <f>IF(A1382="","",MIN('Loan Inputs'!$B$17,C1382+E1382)+H1382)</f>
        <v/>
      </c>
      <c r="E1382" s="2" t="str">
        <f>IF(A1382="","",C1382*'Loan Inputs'!$B$15)</f>
        <v/>
      </c>
      <c r="F1382" s="2" t="str">
        <f t="shared" si="63"/>
        <v/>
      </c>
      <c r="G1382" s="2" t="str">
        <f t="shared" si="64"/>
        <v/>
      </c>
      <c r="H1382" s="2" t="str">
        <f>IF(A1382="","",MIN('Loan Inputs'!$B$18,MAX(0,C1382+E1382-'Loan Inputs'!$B$17)))</f>
        <v/>
      </c>
    </row>
    <row r="1383" spans="1:8" ht="22" customHeight="1">
      <c r="A1383" s="1" t="str">
        <f>IF(AND('Loan Inputs'!$B$12,1377&lt;=IF('Loan Inputs'!$B$12,'Loan Inputs'!$B$7,0)*'Loan Inputs'!$B$14+5*'Loan Inputs'!$B$14,ISNUMBER(G1382),G1382&gt;0),1377,"")</f>
        <v/>
      </c>
      <c r="B1383" s="4" t="str">
        <f>IF(A1383="","",IF('Loan Inputs'!$B$14=12,DATE(YEAR('Loan Inputs'!$B$8),MONTH('Loan Inputs'!$B$8)+A1383,DAY('Loan Inputs'!$B$8)),'Loan Inputs'!$B$8+A1383*IF('Loan Inputs'!$B$14=26,14,7)))</f>
        <v/>
      </c>
      <c r="C1383" s="2" t="str">
        <f t="shared" si="65"/>
        <v/>
      </c>
      <c r="D1383" s="2" t="str">
        <f>IF(A1383="","",MIN('Loan Inputs'!$B$17,C1383+E1383)+H1383)</f>
        <v/>
      </c>
      <c r="E1383" s="2" t="str">
        <f>IF(A1383="","",C1383*'Loan Inputs'!$B$15)</f>
        <v/>
      </c>
      <c r="F1383" s="2" t="str">
        <f t="shared" si="63"/>
        <v/>
      </c>
      <c r="G1383" s="2" t="str">
        <f t="shared" si="64"/>
        <v/>
      </c>
      <c r="H1383" s="2" t="str">
        <f>IF(A1383="","",MIN('Loan Inputs'!$B$18,MAX(0,C1383+E1383-'Loan Inputs'!$B$17)))</f>
        <v/>
      </c>
    </row>
    <row r="1384" spans="1:8" ht="22" customHeight="1">
      <c r="A1384" s="1" t="str">
        <f>IF(AND('Loan Inputs'!$B$12,1378&lt;=IF('Loan Inputs'!$B$12,'Loan Inputs'!$B$7,0)*'Loan Inputs'!$B$14+5*'Loan Inputs'!$B$14,ISNUMBER(G1383),G1383&gt;0),1378,"")</f>
        <v/>
      </c>
      <c r="B1384" s="4" t="str">
        <f>IF(A1384="","",IF('Loan Inputs'!$B$14=12,DATE(YEAR('Loan Inputs'!$B$8),MONTH('Loan Inputs'!$B$8)+A1384,DAY('Loan Inputs'!$B$8)),'Loan Inputs'!$B$8+A1384*IF('Loan Inputs'!$B$14=26,14,7)))</f>
        <v/>
      </c>
      <c r="C1384" s="2" t="str">
        <f t="shared" si="65"/>
        <v/>
      </c>
      <c r="D1384" s="2" t="str">
        <f>IF(A1384="","",MIN('Loan Inputs'!$B$17,C1384+E1384)+H1384)</f>
        <v/>
      </c>
      <c r="E1384" s="2" t="str">
        <f>IF(A1384="","",C1384*'Loan Inputs'!$B$15)</f>
        <v/>
      </c>
      <c r="F1384" s="2" t="str">
        <f t="shared" si="63"/>
        <v/>
      </c>
      <c r="G1384" s="2" t="str">
        <f t="shared" si="64"/>
        <v/>
      </c>
      <c r="H1384" s="2" t="str">
        <f>IF(A1384="","",MIN('Loan Inputs'!$B$18,MAX(0,C1384+E1384-'Loan Inputs'!$B$17)))</f>
        <v/>
      </c>
    </row>
    <row r="1385" spans="1:8" ht="22" customHeight="1">
      <c r="A1385" s="1" t="str">
        <f>IF(AND('Loan Inputs'!$B$12,1379&lt;=IF('Loan Inputs'!$B$12,'Loan Inputs'!$B$7,0)*'Loan Inputs'!$B$14+5*'Loan Inputs'!$B$14,ISNUMBER(G1384),G1384&gt;0),1379,"")</f>
        <v/>
      </c>
      <c r="B1385" s="4" t="str">
        <f>IF(A1385="","",IF('Loan Inputs'!$B$14=12,DATE(YEAR('Loan Inputs'!$B$8),MONTH('Loan Inputs'!$B$8)+A1385,DAY('Loan Inputs'!$B$8)),'Loan Inputs'!$B$8+A1385*IF('Loan Inputs'!$B$14=26,14,7)))</f>
        <v/>
      </c>
      <c r="C1385" s="2" t="str">
        <f t="shared" si="65"/>
        <v/>
      </c>
      <c r="D1385" s="2" t="str">
        <f>IF(A1385="","",MIN('Loan Inputs'!$B$17,C1385+E1385)+H1385)</f>
        <v/>
      </c>
      <c r="E1385" s="2" t="str">
        <f>IF(A1385="","",C1385*'Loan Inputs'!$B$15)</f>
        <v/>
      </c>
      <c r="F1385" s="2" t="str">
        <f t="shared" si="63"/>
        <v/>
      </c>
      <c r="G1385" s="2" t="str">
        <f t="shared" si="64"/>
        <v/>
      </c>
      <c r="H1385" s="2" t="str">
        <f>IF(A1385="","",MIN('Loan Inputs'!$B$18,MAX(0,C1385+E1385-'Loan Inputs'!$B$17)))</f>
        <v/>
      </c>
    </row>
    <row r="1386" spans="1:8" ht="22" customHeight="1">
      <c r="A1386" s="1" t="str">
        <f>IF(AND('Loan Inputs'!$B$12,1380&lt;=IF('Loan Inputs'!$B$12,'Loan Inputs'!$B$7,0)*'Loan Inputs'!$B$14+5*'Loan Inputs'!$B$14,ISNUMBER(G1385),G1385&gt;0),1380,"")</f>
        <v/>
      </c>
      <c r="B1386" s="4" t="str">
        <f>IF(A1386="","",IF('Loan Inputs'!$B$14=12,DATE(YEAR('Loan Inputs'!$B$8),MONTH('Loan Inputs'!$B$8)+A1386,DAY('Loan Inputs'!$B$8)),'Loan Inputs'!$B$8+A1386*IF('Loan Inputs'!$B$14=26,14,7)))</f>
        <v/>
      </c>
      <c r="C1386" s="2" t="str">
        <f t="shared" si="65"/>
        <v/>
      </c>
      <c r="D1386" s="2" t="str">
        <f>IF(A1386="","",MIN('Loan Inputs'!$B$17,C1386+E1386)+H1386)</f>
        <v/>
      </c>
      <c r="E1386" s="2" t="str">
        <f>IF(A1386="","",C1386*'Loan Inputs'!$B$15)</f>
        <v/>
      </c>
      <c r="F1386" s="2" t="str">
        <f t="shared" si="63"/>
        <v/>
      </c>
      <c r="G1386" s="2" t="str">
        <f t="shared" si="64"/>
        <v/>
      </c>
      <c r="H1386" s="2" t="str">
        <f>IF(A1386="","",MIN('Loan Inputs'!$B$18,MAX(0,C1386+E1386-'Loan Inputs'!$B$17)))</f>
        <v/>
      </c>
    </row>
    <row r="1387" spans="1:8" ht="22" customHeight="1">
      <c r="A1387" s="1" t="str">
        <f>IF(AND('Loan Inputs'!$B$12,1381&lt;=IF('Loan Inputs'!$B$12,'Loan Inputs'!$B$7,0)*'Loan Inputs'!$B$14+5*'Loan Inputs'!$B$14,ISNUMBER(G1386),G1386&gt;0),1381,"")</f>
        <v/>
      </c>
      <c r="B1387" s="4" t="str">
        <f>IF(A1387="","",IF('Loan Inputs'!$B$14=12,DATE(YEAR('Loan Inputs'!$B$8),MONTH('Loan Inputs'!$B$8)+A1387,DAY('Loan Inputs'!$B$8)),'Loan Inputs'!$B$8+A1387*IF('Loan Inputs'!$B$14=26,14,7)))</f>
        <v/>
      </c>
      <c r="C1387" s="2" t="str">
        <f t="shared" si="65"/>
        <v/>
      </c>
      <c r="D1387" s="2" t="str">
        <f>IF(A1387="","",MIN('Loan Inputs'!$B$17,C1387+E1387)+H1387)</f>
        <v/>
      </c>
      <c r="E1387" s="2" t="str">
        <f>IF(A1387="","",C1387*'Loan Inputs'!$B$15)</f>
        <v/>
      </c>
      <c r="F1387" s="2" t="str">
        <f t="shared" si="63"/>
        <v/>
      </c>
      <c r="G1387" s="2" t="str">
        <f t="shared" si="64"/>
        <v/>
      </c>
      <c r="H1387" s="2" t="str">
        <f>IF(A1387="","",MIN('Loan Inputs'!$B$18,MAX(0,C1387+E1387-'Loan Inputs'!$B$17)))</f>
        <v/>
      </c>
    </row>
    <row r="1388" spans="1:8" ht="22" customHeight="1">
      <c r="A1388" s="1" t="str">
        <f>IF(AND('Loan Inputs'!$B$12,1382&lt;=IF('Loan Inputs'!$B$12,'Loan Inputs'!$B$7,0)*'Loan Inputs'!$B$14+5*'Loan Inputs'!$B$14,ISNUMBER(G1387),G1387&gt;0),1382,"")</f>
        <v/>
      </c>
      <c r="B1388" s="4" t="str">
        <f>IF(A1388="","",IF('Loan Inputs'!$B$14=12,DATE(YEAR('Loan Inputs'!$B$8),MONTH('Loan Inputs'!$B$8)+A1388,DAY('Loan Inputs'!$B$8)),'Loan Inputs'!$B$8+A1388*IF('Loan Inputs'!$B$14=26,14,7)))</f>
        <v/>
      </c>
      <c r="C1388" s="2" t="str">
        <f t="shared" si="65"/>
        <v/>
      </c>
      <c r="D1388" s="2" t="str">
        <f>IF(A1388="","",MIN('Loan Inputs'!$B$17,C1388+E1388)+H1388)</f>
        <v/>
      </c>
      <c r="E1388" s="2" t="str">
        <f>IF(A1388="","",C1388*'Loan Inputs'!$B$15)</f>
        <v/>
      </c>
      <c r="F1388" s="2" t="str">
        <f t="shared" si="63"/>
        <v/>
      </c>
      <c r="G1388" s="2" t="str">
        <f t="shared" si="64"/>
        <v/>
      </c>
      <c r="H1388" s="2" t="str">
        <f>IF(A1388="","",MIN('Loan Inputs'!$B$18,MAX(0,C1388+E1388-'Loan Inputs'!$B$17)))</f>
        <v/>
      </c>
    </row>
    <row r="1389" spans="1:8" ht="22" customHeight="1">
      <c r="A1389" s="1" t="str">
        <f>IF(AND('Loan Inputs'!$B$12,1383&lt;=IF('Loan Inputs'!$B$12,'Loan Inputs'!$B$7,0)*'Loan Inputs'!$B$14+5*'Loan Inputs'!$B$14,ISNUMBER(G1388),G1388&gt;0),1383,"")</f>
        <v/>
      </c>
      <c r="B1389" s="4" t="str">
        <f>IF(A1389="","",IF('Loan Inputs'!$B$14=12,DATE(YEAR('Loan Inputs'!$B$8),MONTH('Loan Inputs'!$B$8)+A1389,DAY('Loan Inputs'!$B$8)),'Loan Inputs'!$B$8+A1389*IF('Loan Inputs'!$B$14=26,14,7)))</f>
        <v/>
      </c>
      <c r="C1389" s="2" t="str">
        <f t="shared" si="65"/>
        <v/>
      </c>
      <c r="D1389" s="2" t="str">
        <f>IF(A1389="","",MIN('Loan Inputs'!$B$17,C1389+E1389)+H1389)</f>
        <v/>
      </c>
      <c r="E1389" s="2" t="str">
        <f>IF(A1389="","",C1389*'Loan Inputs'!$B$15)</f>
        <v/>
      </c>
      <c r="F1389" s="2" t="str">
        <f t="shared" si="63"/>
        <v/>
      </c>
      <c r="G1389" s="2" t="str">
        <f t="shared" si="64"/>
        <v/>
      </c>
      <c r="H1389" s="2" t="str">
        <f>IF(A1389="","",MIN('Loan Inputs'!$B$18,MAX(0,C1389+E1389-'Loan Inputs'!$B$17)))</f>
        <v/>
      </c>
    </row>
    <row r="1390" spans="1:8" ht="22" customHeight="1">
      <c r="A1390" s="1" t="str">
        <f>IF(AND('Loan Inputs'!$B$12,1384&lt;=IF('Loan Inputs'!$B$12,'Loan Inputs'!$B$7,0)*'Loan Inputs'!$B$14+5*'Loan Inputs'!$B$14,ISNUMBER(G1389),G1389&gt;0),1384,"")</f>
        <v/>
      </c>
      <c r="B1390" s="4" t="str">
        <f>IF(A1390="","",IF('Loan Inputs'!$B$14=12,DATE(YEAR('Loan Inputs'!$B$8),MONTH('Loan Inputs'!$B$8)+A1390,DAY('Loan Inputs'!$B$8)),'Loan Inputs'!$B$8+A1390*IF('Loan Inputs'!$B$14=26,14,7)))</f>
        <v/>
      </c>
      <c r="C1390" s="2" t="str">
        <f t="shared" si="65"/>
        <v/>
      </c>
      <c r="D1390" s="2" t="str">
        <f>IF(A1390="","",MIN('Loan Inputs'!$B$17,C1390+E1390)+H1390)</f>
        <v/>
      </c>
      <c r="E1390" s="2" t="str">
        <f>IF(A1390="","",C1390*'Loan Inputs'!$B$15)</f>
        <v/>
      </c>
      <c r="F1390" s="2" t="str">
        <f t="shared" si="63"/>
        <v/>
      </c>
      <c r="G1390" s="2" t="str">
        <f t="shared" si="64"/>
        <v/>
      </c>
      <c r="H1390" s="2" t="str">
        <f>IF(A1390="","",MIN('Loan Inputs'!$B$18,MAX(0,C1390+E1390-'Loan Inputs'!$B$17)))</f>
        <v/>
      </c>
    </row>
    <row r="1391" spans="1:8" ht="22" customHeight="1">
      <c r="A1391" s="1" t="str">
        <f>IF(AND('Loan Inputs'!$B$12,1385&lt;=IF('Loan Inputs'!$B$12,'Loan Inputs'!$B$7,0)*'Loan Inputs'!$B$14+5*'Loan Inputs'!$B$14,ISNUMBER(G1390),G1390&gt;0),1385,"")</f>
        <v/>
      </c>
      <c r="B1391" s="4" t="str">
        <f>IF(A1391="","",IF('Loan Inputs'!$B$14=12,DATE(YEAR('Loan Inputs'!$B$8),MONTH('Loan Inputs'!$B$8)+A1391,DAY('Loan Inputs'!$B$8)),'Loan Inputs'!$B$8+A1391*IF('Loan Inputs'!$B$14=26,14,7)))</f>
        <v/>
      </c>
      <c r="C1391" s="2" t="str">
        <f t="shared" si="65"/>
        <v/>
      </c>
      <c r="D1391" s="2" t="str">
        <f>IF(A1391="","",MIN('Loan Inputs'!$B$17,C1391+E1391)+H1391)</f>
        <v/>
      </c>
      <c r="E1391" s="2" t="str">
        <f>IF(A1391="","",C1391*'Loan Inputs'!$B$15)</f>
        <v/>
      </c>
      <c r="F1391" s="2" t="str">
        <f t="shared" si="63"/>
        <v/>
      </c>
      <c r="G1391" s="2" t="str">
        <f t="shared" si="64"/>
        <v/>
      </c>
      <c r="H1391" s="2" t="str">
        <f>IF(A1391="","",MIN('Loan Inputs'!$B$18,MAX(0,C1391+E1391-'Loan Inputs'!$B$17)))</f>
        <v/>
      </c>
    </row>
    <row r="1392" spans="1:8" ht="22" customHeight="1">
      <c r="A1392" s="1" t="str">
        <f>IF(AND('Loan Inputs'!$B$12,1386&lt;=IF('Loan Inputs'!$B$12,'Loan Inputs'!$B$7,0)*'Loan Inputs'!$B$14+5*'Loan Inputs'!$B$14,ISNUMBER(G1391),G1391&gt;0),1386,"")</f>
        <v/>
      </c>
      <c r="B1392" s="4" t="str">
        <f>IF(A1392="","",IF('Loan Inputs'!$B$14=12,DATE(YEAR('Loan Inputs'!$B$8),MONTH('Loan Inputs'!$B$8)+A1392,DAY('Loan Inputs'!$B$8)),'Loan Inputs'!$B$8+A1392*IF('Loan Inputs'!$B$14=26,14,7)))</f>
        <v/>
      </c>
      <c r="C1392" s="2" t="str">
        <f t="shared" si="65"/>
        <v/>
      </c>
      <c r="D1392" s="2" t="str">
        <f>IF(A1392="","",MIN('Loan Inputs'!$B$17,C1392+E1392)+H1392)</f>
        <v/>
      </c>
      <c r="E1392" s="2" t="str">
        <f>IF(A1392="","",C1392*'Loan Inputs'!$B$15)</f>
        <v/>
      </c>
      <c r="F1392" s="2" t="str">
        <f t="shared" si="63"/>
        <v/>
      </c>
      <c r="G1392" s="2" t="str">
        <f t="shared" si="64"/>
        <v/>
      </c>
      <c r="H1392" s="2" t="str">
        <f>IF(A1392="","",MIN('Loan Inputs'!$B$18,MAX(0,C1392+E1392-'Loan Inputs'!$B$17)))</f>
        <v/>
      </c>
    </row>
    <row r="1393" spans="1:8" ht="22" customHeight="1">
      <c r="A1393" s="1" t="str">
        <f>IF(AND('Loan Inputs'!$B$12,1387&lt;=IF('Loan Inputs'!$B$12,'Loan Inputs'!$B$7,0)*'Loan Inputs'!$B$14+5*'Loan Inputs'!$B$14,ISNUMBER(G1392),G1392&gt;0),1387,"")</f>
        <v/>
      </c>
      <c r="B1393" s="4" t="str">
        <f>IF(A1393="","",IF('Loan Inputs'!$B$14=12,DATE(YEAR('Loan Inputs'!$B$8),MONTH('Loan Inputs'!$B$8)+A1393,DAY('Loan Inputs'!$B$8)),'Loan Inputs'!$B$8+A1393*IF('Loan Inputs'!$B$14=26,14,7)))</f>
        <v/>
      </c>
      <c r="C1393" s="2" t="str">
        <f t="shared" si="65"/>
        <v/>
      </c>
      <c r="D1393" s="2" t="str">
        <f>IF(A1393="","",MIN('Loan Inputs'!$B$17,C1393+E1393)+H1393)</f>
        <v/>
      </c>
      <c r="E1393" s="2" t="str">
        <f>IF(A1393="","",C1393*'Loan Inputs'!$B$15)</f>
        <v/>
      </c>
      <c r="F1393" s="2" t="str">
        <f t="shared" si="63"/>
        <v/>
      </c>
      <c r="G1393" s="2" t="str">
        <f t="shared" si="64"/>
        <v/>
      </c>
      <c r="H1393" s="2" t="str">
        <f>IF(A1393="","",MIN('Loan Inputs'!$B$18,MAX(0,C1393+E1393-'Loan Inputs'!$B$17)))</f>
        <v/>
      </c>
    </row>
    <row r="1394" spans="1:8" ht="22" customHeight="1">
      <c r="A1394" s="1" t="str">
        <f>IF(AND('Loan Inputs'!$B$12,1388&lt;=IF('Loan Inputs'!$B$12,'Loan Inputs'!$B$7,0)*'Loan Inputs'!$B$14+5*'Loan Inputs'!$B$14,ISNUMBER(G1393),G1393&gt;0),1388,"")</f>
        <v/>
      </c>
      <c r="B1394" s="4" t="str">
        <f>IF(A1394="","",IF('Loan Inputs'!$B$14=12,DATE(YEAR('Loan Inputs'!$B$8),MONTH('Loan Inputs'!$B$8)+A1394,DAY('Loan Inputs'!$B$8)),'Loan Inputs'!$B$8+A1394*IF('Loan Inputs'!$B$14=26,14,7)))</f>
        <v/>
      </c>
      <c r="C1394" s="2" t="str">
        <f t="shared" si="65"/>
        <v/>
      </c>
      <c r="D1394" s="2" t="str">
        <f>IF(A1394="","",MIN('Loan Inputs'!$B$17,C1394+E1394)+H1394)</f>
        <v/>
      </c>
      <c r="E1394" s="2" t="str">
        <f>IF(A1394="","",C1394*'Loan Inputs'!$B$15)</f>
        <v/>
      </c>
      <c r="F1394" s="2" t="str">
        <f t="shared" si="63"/>
        <v/>
      </c>
      <c r="G1394" s="2" t="str">
        <f t="shared" si="64"/>
        <v/>
      </c>
      <c r="H1394" s="2" t="str">
        <f>IF(A1394="","",MIN('Loan Inputs'!$B$18,MAX(0,C1394+E1394-'Loan Inputs'!$B$17)))</f>
        <v/>
      </c>
    </row>
    <row r="1395" spans="1:8" ht="22" customHeight="1">
      <c r="A1395" s="1" t="str">
        <f>IF(AND('Loan Inputs'!$B$12,1389&lt;=IF('Loan Inputs'!$B$12,'Loan Inputs'!$B$7,0)*'Loan Inputs'!$B$14+5*'Loan Inputs'!$B$14,ISNUMBER(G1394),G1394&gt;0),1389,"")</f>
        <v/>
      </c>
      <c r="B1395" s="4" t="str">
        <f>IF(A1395="","",IF('Loan Inputs'!$B$14=12,DATE(YEAR('Loan Inputs'!$B$8),MONTH('Loan Inputs'!$B$8)+A1395,DAY('Loan Inputs'!$B$8)),'Loan Inputs'!$B$8+A1395*IF('Loan Inputs'!$B$14=26,14,7)))</f>
        <v/>
      </c>
      <c r="C1395" s="2" t="str">
        <f t="shared" si="65"/>
        <v/>
      </c>
      <c r="D1395" s="2" t="str">
        <f>IF(A1395="","",MIN('Loan Inputs'!$B$17,C1395+E1395)+H1395)</f>
        <v/>
      </c>
      <c r="E1395" s="2" t="str">
        <f>IF(A1395="","",C1395*'Loan Inputs'!$B$15)</f>
        <v/>
      </c>
      <c r="F1395" s="2" t="str">
        <f t="shared" si="63"/>
        <v/>
      </c>
      <c r="G1395" s="2" t="str">
        <f t="shared" si="64"/>
        <v/>
      </c>
      <c r="H1395" s="2" t="str">
        <f>IF(A1395="","",MIN('Loan Inputs'!$B$18,MAX(0,C1395+E1395-'Loan Inputs'!$B$17)))</f>
        <v/>
      </c>
    </row>
    <row r="1396" spans="1:8" ht="22" customHeight="1">
      <c r="A1396" s="1" t="str">
        <f>IF(AND('Loan Inputs'!$B$12,1390&lt;=IF('Loan Inputs'!$B$12,'Loan Inputs'!$B$7,0)*'Loan Inputs'!$B$14+5*'Loan Inputs'!$B$14,ISNUMBER(G1395),G1395&gt;0),1390,"")</f>
        <v/>
      </c>
      <c r="B1396" s="4" t="str">
        <f>IF(A1396="","",IF('Loan Inputs'!$B$14=12,DATE(YEAR('Loan Inputs'!$B$8),MONTH('Loan Inputs'!$B$8)+A1396,DAY('Loan Inputs'!$B$8)),'Loan Inputs'!$B$8+A1396*IF('Loan Inputs'!$B$14=26,14,7)))</f>
        <v/>
      </c>
      <c r="C1396" s="2" t="str">
        <f t="shared" si="65"/>
        <v/>
      </c>
      <c r="D1396" s="2" t="str">
        <f>IF(A1396="","",MIN('Loan Inputs'!$B$17,C1396+E1396)+H1396)</f>
        <v/>
      </c>
      <c r="E1396" s="2" t="str">
        <f>IF(A1396="","",C1396*'Loan Inputs'!$B$15)</f>
        <v/>
      </c>
      <c r="F1396" s="2" t="str">
        <f t="shared" si="63"/>
        <v/>
      </c>
      <c r="G1396" s="2" t="str">
        <f t="shared" si="64"/>
        <v/>
      </c>
      <c r="H1396" s="2" t="str">
        <f>IF(A1396="","",MIN('Loan Inputs'!$B$18,MAX(0,C1396+E1396-'Loan Inputs'!$B$17)))</f>
        <v/>
      </c>
    </row>
    <row r="1397" spans="1:8" ht="22" customHeight="1">
      <c r="A1397" s="1" t="str">
        <f>IF(AND('Loan Inputs'!$B$12,1391&lt;=IF('Loan Inputs'!$B$12,'Loan Inputs'!$B$7,0)*'Loan Inputs'!$B$14+5*'Loan Inputs'!$B$14,ISNUMBER(G1396),G1396&gt;0),1391,"")</f>
        <v/>
      </c>
      <c r="B1397" s="4" t="str">
        <f>IF(A1397="","",IF('Loan Inputs'!$B$14=12,DATE(YEAR('Loan Inputs'!$B$8),MONTH('Loan Inputs'!$B$8)+A1397,DAY('Loan Inputs'!$B$8)),'Loan Inputs'!$B$8+A1397*IF('Loan Inputs'!$B$14=26,14,7)))</f>
        <v/>
      </c>
      <c r="C1397" s="2" t="str">
        <f t="shared" si="65"/>
        <v/>
      </c>
      <c r="D1397" s="2" t="str">
        <f>IF(A1397="","",MIN('Loan Inputs'!$B$17,C1397+E1397)+H1397)</f>
        <v/>
      </c>
      <c r="E1397" s="2" t="str">
        <f>IF(A1397="","",C1397*'Loan Inputs'!$B$15)</f>
        <v/>
      </c>
      <c r="F1397" s="2" t="str">
        <f t="shared" si="63"/>
        <v/>
      </c>
      <c r="G1397" s="2" t="str">
        <f t="shared" si="64"/>
        <v/>
      </c>
      <c r="H1397" s="2" t="str">
        <f>IF(A1397="","",MIN('Loan Inputs'!$B$18,MAX(0,C1397+E1397-'Loan Inputs'!$B$17)))</f>
        <v/>
      </c>
    </row>
    <row r="1398" spans="1:8" ht="22" customHeight="1">
      <c r="A1398" s="1" t="str">
        <f>IF(AND('Loan Inputs'!$B$12,1392&lt;=IF('Loan Inputs'!$B$12,'Loan Inputs'!$B$7,0)*'Loan Inputs'!$B$14+5*'Loan Inputs'!$B$14,ISNUMBER(G1397),G1397&gt;0),1392,"")</f>
        <v/>
      </c>
      <c r="B1398" s="4" t="str">
        <f>IF(A1398="","",IF('Loan Inputs'!$B$14=12,DATE(YEAR('Loan Inputs'!$B$8),MONTH('Loan Inputs'!$B$8)+A1398,DAY('Loan Inputs'!$B$8)),'Loan Inputs'!$B$8+A1398*IF('Loan Inputs'!$B$14=26,14,7)))</f>
        <v/>
      </c>
      <c r="C1398" s="2" t="str">
        <f t="shared" si="65"/>
        <v/>
      </c>
      <c r="D1398" s="2" t="str">
        <f>IF(A1398="","",MIN('Loan Inputs'!$B$17,C1398+E1398)+H1398)</f>
        <v/>
      </c>
      <c r="E1398" s="2" t="str">
        <f>IF(A1398="","",C1398*'Loan Inputs'!$B$15)</f>
        <v/>
      </c>
      <c r="F1398" s="2" t="str">
        <f t="shared" si="63"/>
        <v/>
      </c>
      <c r="G1398" s="2" t="str">
        <f t="shared" si="64"/>
        <v/>
      </c>
      <c r="H1398" s="2" t="str">
        <f>IF(A1398="","",MIN('Loan Inputs'!$B$18,MAX(0,C1398+E1398-'Loan Inputs'!$B$17)))</f>
        <v/>
      </c>
    </row>
    <row r="1399" spans="1:8" ht="22" customHeight="1">
      <c r="A1399" s="1" t="str">
        <f>IF(AND('Loan Inputs'!$B$12,1393&lt;=IF('Loan Inputs'!$B$12,'Loan Inputs'!$B$7,0)*'Loan Inputs'!$B$14+5*'Loan Inputs'!$B$14,ISNUMBER(G1398),G1398&gt;0),1393,"")</f>
        <v/>
      </c>
      <c r="B1399" s="4" t="str">
        <f>IF(A1399="","",IF('Loan Inputs'!$B$14=12,DATE(YEAR('Loan Inputs'!$B$8),MONTH('Loan Inputs'!$B$8)+A1399,DAY('Loan Inputs'!$B$8)),'Loan Inputs'!$B$8+A1399*IF('Loan Inputs'!$B$14=26,14,7)))</f>
        <v/>
      </c>
      <c r="C1399" s="2" t="str">
        <f t="shared" si="65"/>
        <v/>
      </c>
      <c r="D1399" s="2" t="str">
        <f>IF(A1399="","",MIN('Loan Inputs'!$B$17,C1399+E1399)+H1399)</f>
        <v/>
      </c>
      <c r="E1399" s="2" t="str">
        <f>IF(A1399="","",C1399*'Loan Inputs'!$B$15)</f>
        <v/>
      </c>
      <c r="F1399" s="2" t="str">
        <f t="shared" si="63"/>
        <v/>
      </c>
      <c r="G1399" s="2" t="str">
        <f t="shared" si="64"/>
        <v/>
      </c>
      <c r="H1399" s="2" t="str">
        <f>IF(A1399="","",MIN('Loan Inputs'!$B$18,MAX(0,C1399+E1399-'Loan Inputs'!$B$17)))</f>
        <v/>
      </c>
    </row>
    <row r="1400" spans="1:8" ht="22" customHeight="1">
      <c r="A1400" s="1" t="str">
        <f>IF(AND('Loan Inputs'!$B$12,1394&lt;=IF('Loan Inputs'!$B$12,'Loan Inputs'!$B$7,0)*'Loan Inputs'!$B$14+5*'Loan Inputs'!$B$14,ISNUMBER(G1399),G1399&gt;0),1394,"")</f>
        <v/>
      </c>
      <c r="B1400" s="4" t="str">
        <f>IF(A1400="","",IF('Loan Inputs'!$B$14=12,DATE(YEAR('Loan Inputs'!$B$8),MONTH('Loan Inputs'!$B$8)+A1400,DAY('Loan Inputs'!$B$8)),'Loan Inputs'!$B$8+A1400*IF('Loan Inputs'!$B$14=26,14,7)))</f>
        <v/>
      </c>
      <c r="C1400" s="2" t="str">
        <f t="shared" si="65"/>
        <v/>
      </c>
      <c r="D1400" s="2" t="str">
        <f>IF(A1400="","",MIN('Loan Inputs'!$B$17,C1400+E1400)+H1400)</f>
        <v/>
      </c>
      <c r="E1400" s="2" t="str">
        <f>IF(A1400="","",C1400*'Loan Inputs'!$B$15)</f>
        <v/>
      </c>
      <c r="F1400" s="2" t="str">
        <f t="shared" si="63"/>
        <v/>
      </c>
      <c r="G1400" s="2" t="str">
        <f t="shared" si="64"/>
        <v/>
      </c>
      <c r="H1400" s="2" t="str">
        <f>IF(A1400="","",MIN('Loan Inputs'!$B$18,MAX(0,C1400+E1400-'Loan Inputs'!$B$17)))</f>
        <v/>
      </c>
    </row>
    <row r="1401" spans="1:8" ht="22" customHeight="1">
      <c r="A1401" s="1" t="str">
        <f>IF(AND('Loan Inputs'!$B$12,1395&lt;=IF('Loan Inputs'!$B$12,'Loan Inputs'!$B$7,0)*'Loan Inputs'!$B$14+5*'Loan Inputs'!$B$14,ISNUMBER(G1400),G1400&gt;0),1395,"")</f>
        <v/>
      </c>
      <c r="B1401" s="4" t="str">
        <f>IF(A1401="","",IF('Loan Inputs'!$B$14=12,DATE(YEAR('Loan Inputs'!$B$8),MONTH('Loan Inputs'!$B$8)+A1401,DAY('Loan Inputs'!$B$8)),'Loan Inputs'!$B$8+A1401*IF('Loan Inputs'!$B$14=26,14,7)))</f>
        <v/>
      </c>
      <c r="C1401" s="2" t="str">
        <f t="shared" si="65"/>
        <v/>
      </c>
      <c r="D1401" s="2" t="str">
        <f>IF(A1401="","",MIN('Loan Inputs'!$B$17,C1401+E1401)+H1401)</f>
        <v/>
      </c>
      <c r="E1401" s="2" t="str">
        <f>IF(A1401="","",C1401*'Loan Inputs'!$B$15)</f>
        <v/>
      </c>
      <c r="F1401" s="2" t="str">
        <f t="shared" si="63"/>
        <v/>
      </c>
      <c r="G1401" s="2" t="str">
        <f t="shared" si="64"/>
        <v/>
      </c>
      <c r="H1401" s="2" t="str">
        <f>IF(A1401="","",MIN('Loan Inputs'!$B$18,MAX(0,C1401+E1401-'Loan Inputs'!$B$17)))</f>
        <v/>
      </c>
    </row>
    <row r="1402" spans="1:8" ht="22" customHeight="1">
      <c r="A1402" s="1" t="str">
        <f>IF(AND('Loan Inputs'!$B$12,1396&lt;=IF('Loan Inputs'!$B$12,'Loan Inputs'!$B$7,0)*'Loan Inputs'!$B$14+5*'Loan Inputs'!$B$14,ISNUMBER(G1401),G1401&gt;0),1396,"")</f>
        <v/>
      </c>
      <c r="B1402" s="4" t="str">
        <f>IF(A1402="","",IF('Loan Inputs'!$B$14=12,DATE(YEAR('Loan Inputs'!$B$8),MONTH('Loan Inputs'!$B$8)+A1402,DAY('Loan Inputs'!$B$8)),'Loan Inputs'!$B$8+A1402*IF('Loan Inputs'!$B$14=26,14,7)))</f>
        <v/>
      </c>
      <c r="C1402" s="2" t="str">
        <f t="shared" si="65"/>
        <v/>
      </c>
      <c r="D1402" s="2" t="str">
        <f>IF(A1402="","",MIN('Loan Inputs'!$B$17,C1402+E1402)+H1402)</f>
        <v/>
      </c>
      <c r="E1402" s="2" t="str">
        <f>IF(A1402="","",C1402*'Loan Inputs'!$B$15)</f>
        <v/>
      </c>
      <c r="F1402" s="2" t="str">
        <f t="shared" si="63"/>
        <v/>
      </c>
      <c r="G1402" s="2" t="str">
        <f t="shared" si="64"/>
        <v/>
      </c>
      <c r="H1402" s="2" t="str">
        <f>IF(A1402="","",MIN('Loan Inputs'!$B$18,MAX(0,C1402+E1402-'Loan Inputs'!$B$17)))</f>
        <v/>
      </c>
    </row>
    <row r="1403" spans="1:8" ht="22" customHeight="1">
      <c r="A1403" s="1" t="str">
        <f>IF(AND('Loan Inputs'!$B$12,1397&lt;=IF('Loan Inputs'!$B$12,'Loan Inputs'!$B$7,0)*'Loan Inputs'!$B$14+5*'Loan Inputs'!$B$14,ISNUMBER(G1402),G1402&gt;0),1397,"")</f>
        <v/>
      </c>
      <c r="B1403" s="4" t="str">
        <f>IF(A1403="","",IF('Loan Inputs'!$B$14=12,DATE(YEAR('Loan Inputs'!$B$8),MONTH('Loan Inputs'!$B$8)+A1403,DAY('Loan Inputs'!$B$8)),'Loan Inputs'!$B$8+A1403*IF('Loan Inputs'!$B$14=26,14,7)))</f>
        <v/>
      </c>
      <c r="C1403" s="2" t="str">
        <f t="shared" si="65"/>
        <v/>
      </c>
      <c r="D1403" s="2" t="str">
        <f>IF(A1403="","",MIN('Loan Inputs'!$B$17,C1403+E1403)+H1403)</f>
        <v/>
      </c>
      <c r="E1403" s="2" t="str">
        <f>IF(A1403="","",C1403*'Loan Inputs'!$B$15)</f>
        <v/>
      </c>
      <c r="F1403" s="2" t="str">
        <f t="shared" si="63"/>
        <v/>
      </c>
      <c r="G1403" s="2" t="str">
        <f t="shared" si="64"/>
        <v/>
      </c>
      <c r="H1403" s="2" t="str">
        <f>IF(A1403="","",MIN('Loan Inputs'!$B$18,MAX(0,C1403+E1403-'Loan Inputs'!$B$17)))</f>
        <v/>
      </c>
    </row>
    <row r="1404" spans="1:8" ht="22" customHeight="1">
      <c r="A1404" s="1" t="str">
        <f>IF(AND('Loan Inputs'!$B$12,1398&lt;=IF('Loan Inputs'!$B$12,'Loan Inputs'!$B$7,0)*'Loan Inputs'!$B$14+5*'Loan Inputs'!$B$14,ISNUMBER(G1403),G1403&gt;0),1398,"")</f>
        <v/>
      </c>
      <c r="B1404" s="4" t="str">
        <f>IF(A1404="","",IF('Loan Inputs'!$B$14=12,DATE(YEAR('Loan Inputs'!$B$8),MONTH('Loan Inputs'!$B$8)+A1404,DAY('Loan Inputs'!$B$8)),'Loan Inputs'!$B$8+A1404*IF('Loan Inputs'!$B$14=26,14,7)))</f>
        <v/>
      </c>
      <c r="C1404" s="2" t="str">
        <f t="shared" si="65"/>
        <v/>
      </c>
      <c r="D1404" s="2" t="str">
        <f>IF(A1404="","",MIN('Loan Inputs'!$B$17,C1404+E1404)+H1404)</f>
        <v/>
      </c>
      <c r="E1404" s="2" t="str">
        <f>IF(A1404="","",C1404*'Loan Inputs'!$B$15)</f>
        <v/>
      </c>
      <c r="F1404" s="2" t="str">
        <f t="shared" si="63"/>
        <v/>
      </c>
      <c r="G1404" s="2" t="str">
        <f t="shared" si="64"/>
        <v/>
      </c>
      <c r="H1404" s="2" t="str">
        <f>IF(A1404="","",MIN('Loan Inputs'!$B$18,MAX(0,C1404+E1404-'Loan Inputs'!$B$17)))</f>
        <v/>
      </c>
    </row>
    <row r="1405" spans="1:8" ht="22" customHeight="1">
      <c r="A1405" s="1" t="str">
        <f>IF(AND('Loan Inputs'!$B$12,1399&lt;=IF('Loan Inputs'!$B$12,'Loan Inputs'!$B$7,0)*'Loan Inputs'!$B$14+5*'Loan Inputs'!$B$14,ISNUMBER(G1404),G1404&gt;0),1399,"")</f>
        <v/>
      </c>
      <c r="B1405" s="4" t="str">
        <f>IF(A1405="","",IF('Loan Inputs'!$B$14=12,DATE(YEAR('Loan Inputs'!$B$8),MONTH('Loan Inputs'!$B$8)+A1405,DAY('Loan Inputs'!$B$8)),'Loan Inputs'!$B$8+A1405*IF('Loan Inputs'!$B$14=26,14,7)))</f>
        <v/>
      </c>
      <c r="C1405" s="2" t="str">
        <f t="shared" si="65"/>
        <v/>
      </c>
      <c r="D1405" s="2" t="str">
        <f>IF(A1405="","",MIN('Loan Inputs'!$B$17,C1405+E1405)+H1405)</f>
        <v/>
      </c>
      <c r="E1405" s="2" t="str">
        <f>IF(A1405="","",C1405*'Loan Inputs'!$B$15)</f>
        <v/>
      </c>
      <c r="F1405" s="2" t="str">
        <f t="shared" si="63"/>
        <v/>
      </c>
      <c r="G1405" s="2" t="str">
        <f t="shared" si="64"/>
        <v/>
      </c>
      <c r="H1405" s="2" t="str">
        <f>IF(A1405="","",MIN('Loan Inputs'!$B$18,MAX(0,C1405+E1405-'Loan Inputs'!$B$17)))</f>
        <v/>
      </c>
    </row>
    <row r="1406" spans="1:8" ht="22" customHeight="1">
      <c r="A1406" s="1" t="str">
        <f>IF(AND('Loan Inputs'!$B$12,1400&lt;=IF('Loan Inputs'!$B$12,'Loan Inputs'!$B$7,0)*'Loan Inputs'!$B$14+5*'Loan Inputs'!$B$14,ISNUMBER(G1405),G1405&gt;0),1400,"")</f>
        <v/>
      </c>
      <c r="B1406" s="4" t="str">
        <f>IF(A1406="","",IF('Loan Inputs'!$B$14=12,DATE(YEAR('Loan Inputs'!$B$8),MONTH('Loan Inputs'!$B$8)+A1406,DAY('Loan Inputs'!$B$8)),'Loan Inputs'!$B$8+A1406*IF('Loan Inputs'!$B$14=26,14,7)))</f>
        <v/>
      </c>
      <c r="C1406" s="2" t="str">
        <f t="shared" si="65"/>
        <v/>
      </c>
      <c r="D1406" s="2" t="str">
        <f>IF(A1406="","",MIN('Loan Inputs'!$B$17,C1406+E1406)+H1406)</f>
        <v/>
      </c>
      <c r="E1406" s="2" t="str">
        <f>IF(A1406="","",C1406*'Loan Inputs'!$B$15)</f>
        <v/>
      </c>
      <c r="F1406" s="2" t="str">
        <f t="shared" si="63"/>
        <v/>
      </c>
      <c r="G1406" s="2" t="str">
        <f t="shared" si="64"/>
        <v/>
      </c>
      <c r="H1406" s="2" t="str">
        <f>IF(A1406="","",MIN('Loan Inputs'!$B$18,MAX(0,C1406+E1406-'Loan Inputs'!$B$17)))</f>
        <v/>
      </c>
    </row>
    <row r="1407" spans="1:8" ht="22" customHeight="1">
      <c r="A1407" s="1" t="str">
        <f>IF(AND('Loan Inputs'!$B$12,1401&lt;=IF('Loan Inputs'!$B$12,'Loan Inputs'!$B$7,0)*'Loan Inputs'!$B$14+5*'Loan Inputs'!$B$14,ISNUMBER(G1406),G1406&gt;0),1401,"")</f>
        <v/>
      </c>
      <c r="B1407" s="4" t="str">
        <f>IF(A1407="","",IF('Loan Inputs'!$B$14=12,DATE(YEAR('Loan Inputs'!$B$8),MONTH('Loan Inputs'!$B$8)+A1407,DAY('Loan Inputs'!$B$8)),'Loan Inputs'!$B$8+A1407*IF('Loan Inputs'!$B$14=26,14,7)))</f>
        <v/>
      </c>
      <c r="C1407" s="2" t="str">
        <f t="shared" si="65"/>
        <v/>
      </c>
      <c r="D1407" s="2" t="str">
        <f>IF(A1407="","",MIN('Loan Inputs'!$B$17,C1407+E1407)+H1407)</f>
        <v/>
      </c>
      <c r="E1407" s="2" t="str">
        <f>IF(A1407="","",C1407*'Loan Inputs'!$B$15)</f>
        <v/>
      </c>
      <c r="F1407" s="2" t="str">
        <f t="shared" si="63"/>
        <v/>
      </c>
      <c r="G1407" s="2" t="str">
        <f t="shared" si="64"/>
        <v/>
      </c>
      <c r="H1407" s="2" t="str">
        <f>IF(A1407="","",MIN('Loan Inputs'!$B$18,MAX(0,C1407+E1407-'Loan Inputs'!$B$17)))</f>
        <v/>
      </c>
    </row>
    <row r="1408" spans="1:8" ht="22" customHeight="1">
      <c r="A1408" s="1" t="str">
        <f>IF(AND('Loan Inputs'!$B$12,1402&lt;=IF('Loan Inputs'!$B$12,'Loan Inputs'!$B$7,0)*'Loan Inputs'!$B$14+5*'Loan Inputs'!$B$14,ISNUMBER(G1407),G1407&gt;0),1402,"")</f>
        <v/>
      </c>
      <c r="B1408" s="4" t="str">
        <f>IF(A1408="","",IF('Loan Inputs'!$B$14=12,DATE(YEAR('Loan Inputs'!$B$8),MONTH('Loan Inputs'!$B$8)+A1408,DAY('Loan Inputs'!$B$8)),'Loan Inputs'!$B$8+A1408*IF('Loan Inputs'!$B$14=26,14,7)))</f>
        <v/>
      </c>
      <c r="C1408" s="2" t="str">
        <f t="shared" si="65"/>
        <v/>
      </c>
      <c r="D1408" s="2" t="str">
        <f>IF(A1408="","",MIN('Loan Inputs'!$B$17,C1408+E1408)+H1408)</f>
        <v/>
      </c>
      <c r="E1408" s="2" t="str">
        <f>IF(A1408="","",C1408*'Loan Inputs'!$B$15)</f>
        <v/>
      </c>
      <c r="F1408" s="2" t="str">
        <f t="shared" si="63"/>
        <v/>
      </c>
      <c r="G1408" s="2" t="str">
        <f t="shared" si="64"/>
        <v/>
      </c>
      <c r="H1408" s="2" t="str">
        <f>IF(A1408="","",MIN('Loan Inputs'!$B$18,MAX(0,C1408+E1408-'Loan Inputs'!$B$17)))</f>
        <v/>
      </c>
    </row>
    <row r="1409" spans="1:8" ht="22" customHeight="1">
      <c r="A1409" s="1" t="str">
        <f>IF(AND('Loan Inputs'!$B$12,1403&lt;=IF('Loan Inputs'!$B$12,'Loan Inputs'!$B$7,0)*'Loan Inputs'!$B$14+5*'Loan Inputs'!$B$14,ISNUMBER(G1408),G1408&gt;0),1403,"")</f>
        <v/>
      </c>
      <c r="B1409" s="4" t="str">
        <f>IF(A1409="","",IF('Loan Inputs'!$B$14=12,DATE(YEAR('Loan Inputs'!$B$8),MONTH('Loan Inputs'!$B$8)+A1409,DAY('Loan Inputs'!$B$8)),'Loan Inputs'!$B$8+A1409*IF('Loan Inputs'!$B$14=26,14,7)))</f>
        <v/>
      </c>
      <c r="C1409" s="2" t="str">
        <f t="shared" si="65"/>
        <v/>
      </c>
      <c r="D1409" s="2" t="str">
        <f>IF(A1409="","",MIN('Loan Inputs'!$B$17,C1409+E1409)+H1409)</f>
        <v/>
      </c>
      <c r="E1409" s="2" t="str">
        <f>IF(A1409="","",C1409*'Loan Inputs'!$B$15)</f>
        <v/>
      </c>
      <c r="F1409" s="2" t="str">
        <f t="shared" si="63"/>
        <v/>
      </c>
      <c r="G1409" s="2" t="str">
        <f t="shared" si="64"/>
        <v/>
      </c>
      <c r="H1409" s="2" t="str">
        <f>IF(A1409="","",MIN('Loan Inputs'!$B$18,MAX(0,C1409+E1409-'Loan Inputs'!$B$17)))</f>
        <v/>
      </c>
    </row>
    <row r="1410" spans="1:8" ht="22" customHeight="1">
      <c r="A1410" s="1" t="str">
        <f>IF(AND('Loan Inputs'!$B$12,1404&lt;=IF('Loan Inputs'!$B$12,'Loan Inputs'!$B$7,0)*'Loan Inputs'!$B$14+5*'Loan Inputs'!$B$14,ISNUMBER(G1409),G1409&gt;0),1404,"")</f>
        <v/>
      </c>
      <c r="B1410" s="4" t="str">
        <f>IF(A1410="","",IF('Loan Inputs'!$B$14=12,DATE(YEAR('Loan Inputs'!$B$8),MONTH('Loan Inputs'!$B$8)+A1410,DAY('Loan Inputs'!$B$8)),'Loan Inputs'!$B$8+A1410*IF('Loan Inputs'!$B$14=26,14,7)))</f>
        <v/>
      </c>
      <c r="C1410" s="2" t="str">
        <f t="shared" si="65"/>
        <v/>
      </c>
      <c r="D1410" s="2" t="str">
        <f>IF(A1410="","",MIN('Loan Inputs'!$B$17,C1410+E1410)+H1410)</f>
        <v/>
      </c>
      <c r="E1410" s="2" t="str">
        <f>IF(A1410="","",C1410*'Loan Inputs'!$B$15)</f>
        <v/>
      </c>
      <c r="F1410" s="2" t="str">
        <f t="shared" si="63"/>
        <v/>
      </c>
      <c r="G1410" s="2" t="str">
        <f t="shared" si="64"/>
        <v/>
      </c>
      <c r="H1410" s="2" t="str">
        <f>IF(A1410="","",MIN('Loan Inputs'!$B$18,MAX(0,C1410+E1410-'Loan Inputs'!$B$17)))</f>
        <v/>
      </c>
    </row>
    <row r="1411" spans="1:8" ht="22" customHeight="1">
      <c r="A1411" s="1" t="str">
        <f>IF(AND('Loan Inputs'!$B$12,1405&lt;=IF('Loan Inputs'!$B$12,'Loan Inputs'!$B$7,0)*'Loan Inputs'!$B$14+5*'Loan Inputs'!$B$14,ISNUMBER(G1410),G1410&gt;0),1405,"")</f>
        <v/>
      </c>
      <c r="B1411" s="4" t="str">
        <f>IF(A1411="","",IF('Loan Inputs'!$B$14=12,DATE(YEAR('Loan Inputs'!$B$8),MONTH('Loan Inputs'!$B$8)+A1411,DAY('Loan Inputs'!$B$8)),'Loan Inputs'!$B$8+A1411*IF('Loan Inputs'!$B$14=26,14,7)))</f>
        <v/>
      </c>
      <c r="C1411" s="2" t="str">
        <f t="shared" si="65"/>
        <v/>
      </c>
      <c r="D1411" s="2" t="str">
        <f>IF(A1411="","",MIN('Loan Inputs'!$B$17,C1411+E1411)+H1411)</f>
        <v/>
      </c>
      <c r="E1411" s="2" t="str">
        <f>IF(A1411="","",C1411*'Loan Inputs'!$B$15)</f>
        <v/>
      </c>
      <c r="F1411" s="2" t="str">
        <f t="shared" si="63"/>
        <v/>
      </c>
      <c r="G1411" s="2" t="str">
        <f t="shared" si="64"/>
        <v/>
      </c>
      <c r="H1411" s="2" t="str">
        <f>IF(A1411="","",MIN('Loan Inputs'!$B$18,MAX(0,C1411+E1411-'Loan Inputs'!$B$17)))</f>
        <v/>
      </c>
    </row>
    <row r="1412" spans="1:8" ht="22" customHeight="1">
      <c r="A1412" s="1" t="str">
        <f>IF(AND('Loan Inputs'!$B$12,1406&lt;=IF('Loan Inputs'!$B$12,'Loan Inputs'!$B$7,0)*'Loan Inputs'!$B$14+5*'Loan Inputs'!$B$14,ISNUMBER(G1411),G1411&gt;0),1406,"")</f>
        <v/>
      </c>
      <c r="B1412" s="4" t="str">
        <f>IF(A1412="","",IF('Loan Inputs'!$B$14=12,DATE(YEAR('Loan Inputs'!$B$8),MONTH('Loan Inputs'!$B$8)+A1412,DAY('Loan Inputs'!$B$8)),'Loan Inputs'!$B$8+A1412*IF('Loan Inputs'!$B$14=26,14,7)))</f>
        <v/>
      </c>
      <c r="C1412" s="2" t="str">
        <f t="shared" si="65"/>
        <v/>
      </c>
      <c r="D1412" s="2" t="str">
        <f>IF(A1412="","",MIN('Loan Inputs'!$B$17,C1412+E1412)+H1412)</f>
        <v/>
      </c>
      <c r="E1412" s="2" t="str">
        <f>IF(A1412="","",C1412*'Loan Inputs'!$B$15)</f>
        <v/>
      </c>
      <c r="F1412" s="2" t="str">
        <f t="shared" si="63"/>
        <v/>
      </c>
      <c r="G1412" s="2" t="str">
        <f t="shared" si="64"/>
        <v/>
      </c>
      <c r="H1412" s="2" t="str">
        <f>IF(A1412="","",MIN('Loan Inputs'!$B$18,MAX(0,C1412+E1412-'Loan Inputs'!$B$17)))</f>
        <v/>
      </c>
    </row>
    <row r="1413" spans="1:8" ht="22" customHeight="1">
      <c r="A1413" s="1" t="str">
        <f>IF(AND('Loan Inputs'!$B$12,1407&lt;=IF('Loan Inputs'!$B$12,'Loan Inputs'!$B$7,0)*'Loan Inputs'!$B$14+5*'Loan Inputs'!$B$14,ISNUMBER(G1412),G1412&gt;0),1407,"")</f>
        <v/>
      </c>
      <c r="B1413" s="4" t="str">
        <f>IF(A1413="","",IF('Loan Inputs'!$B$14=12,DATE(YEAR('Loan Inputs'!$B$8),MONTH('Loan Inputs'!$B$8)+A1413,DAY('Loan Inputs'!$B$8)),'Loan Inputs'!$B$8+A1413*IF('Loan Inputs'!$B$14=26,14,7)))</f>
        <v/>
      </c>
      <c r="C1413" s="2" t="str">
        <f t="shared" si="65"/>
        <v/>
      </c>
      <c r="D1413" s="2" t="str">
        <f>IF(A1413="","",MIN('Loan Inputs'!$B$17,C1413+E1413)+H1413)</f>
        <v/>
      </c>
      <c r="E1413" s="2" t="str">
        <f>IF(A1413="","",C1413*'Loan Inputs'!$B$15)</f>
        <v/>
      </c>
      <c r="F1413" s="2" t="str">
        <f t="shared" si="63"/>
        <v/>
      </c>
      <c r="G1413" s="2" t="str">
        <f t="shared" si="64"/>
        <v/>
      </c>
      <c r="H1413" s="2" t="str">
        <f>IF(A1413="","",MIN('Loan Inputs'!$B$18,MAX(0,C1413+E1413-'Loan Inputs'!$B$17)))</f>
        <v/>
      </c>
    </row>
    <row r="1414" spans="1:8" ht="22" customHeight="1">
      <c r="A1414" s="1" t="str">
        <f>IF(AND('Loan Inputs'!$B$12,1408&lt;=IF('Loan Inputs'!$B$12,'Loan Inputs'!$B$7,0)*'Loan Inputs'!$B$14+5*'Loan Inputs'!$B$14,ISNUMBER(G1413),G1413&gt;0),1408,"")</f>
        <v/>
      </c>
      <c r="B1414" s="4" t="str">
        <f>IF(A1414="","",IF('Loan Inputs'!$B$14=12,DATE(YEAR('Loan Inputs'!$B$8),MONTH('Loan Inputs'!$B$8)+A1414,DAY('Loan Inputs'!$B$8)),'Loan Inputs'!$B$8+A1414*IF('Loan Inputs'!$B$14=26,14,7)))</f>
        <v/>
      </c>
      <c r="C1414" s="2" t="str">
        <f t="shared" si="65"/>
        <v/>
      </c>
      <c r="D1414" s="2" t="str">
        <f>IF(A1414="","",MIN('Loan Inputs'!$B$17,C1414+E1414)+H1414)</f>
        <v/>
      </c>
      <c r="E1414" s="2" t="str">
        <f>IF(A1414="","",C1414*'Loan Inputs'!$B$15)</f>
        <v/>
      </c>
      <c r="F1414" s="2" t="str">
        <f t="shared" si="63"/>
        <v/>
      </c>
      <c r="G1414" s="2" t="str">
        <f t="shared" si="64"/>
        <v/>
      </c>
      <c r="H1414" s="2" t="str">
        <f>IF(A1414="","",MIN('Loan Inputs'!$B$18,MAX(0,C1414+E1414-'Loan Inputs'!$B$17)))</f>
        <v/>
      </c>
    </row>
    <row r="1415" spans="1:8" ht="22" customHeight="1">
      <c r="A1415" s="1" t="str">
        <f>IF(AND('Loan Inputs'!$B$12,1409&lt;=IF('Loan Inputs'!$B$12,'Loan Inputs'!$B$7,0)*'Loan Inputs'!$B$14+5*'Loan Inputs'!$B$14,ISNUMBER(G1414),G1414&gt;0),1409,"")</f>
        <v/>
      </c>
      <c r="B1415" s="4" t="str">
        <f>IF(A1415="","",IF('Loan Inputs'!$B$14=12,DATE(YEAR('Loan Inputs'!$B$8),MONTH('Loan Inputs'!$B$8)+A1415,DAY('Loan Inputs'!$B$8)),'Loan Inputs'!$B$8+A1415*IF('Loan Inputs'!$B$14=26,14,7)))</f>
        <v/>
      </c>
      <c r="C1415" s="2" t="str">
        <f t="shared" si="65"/>
        <v/>
      </c>
      <c r="D1415" s="2" t="str">
        <f>IF(A1415="","",MIN('Loan Inputs'!$B$17,C1415+E1415)+H1415)</f>
        <v/>
      </c>
      <c r="E1415" s="2" t="str">
        <f>IF(A1415="","",C1415*'Loan Inputs'!$B$15)</f>
        <v/>
      </c>
      <c r="F1415" s="2" t="str">
        <f t="shared" ref="F1415:F1478" si="66">IF(A1415="","",MIN(C1415,D1415-E1415))</f>
        <v/>
      </c>
      <c r="G1415" s="2" t="str">
        <f t="shared" ref="G1415:G1478" si="67">IF(A1415="","",IF(C1415-F1415&lt;0.0000001,0,MAX(0,C1415-F1415)))</f>
        <v/>
      </c>
      <c r="H1415" s="2" t="str">
        <f>IF(A1415="","",MIN('Loan Inputs'!$B$18,MAX(0,C1415+E1415-'Loan Inputs'!$B$17)))</f>
        <v/>
      </c>
    </row>
    <row r="1416" spans="1:8" ht="22" customHeight="1">
      <c r="A1416" s="1" t="str">
        <f>IF(AND('Loan Inputs'!$B$12,1410&lt;=IF('Loan Inputs'!$B$12,'Loan Inputs'!$B$7,0)*'Loan Inputs'!$B$14+5*'Loan Inputs'!$B$14,ISNUMBER(G1415),G1415&gt;0),1410,"")</f>
        <v/>
      </c>
      <c r="B1416" s="4" t="str">
        <f>IF(A1416="","",IF('Loan Inputs'!$B$14=12,DATE(YEAR('Loan Inputs'!$B$8),MONTH('Loan Inputs'!$B$8)+A1416,DAY('Loan Inputs'!$B$8)),'Loan Inputs'!$B$8+A1416*IF('Loan Inputs'!$B$14=26,14,7)))</f>
        <v/>
      </c>
      <c r="C1416" s="2" t="str">
        <f t="shared" ref="C1416:C1479" si="68">IF(A1416="","",G1415)</f>
        <v/>
      </c>
      <c r="D1416" s="2" t="str">
        <f>IF(A1416="","",MIN('Loan Inputs'!$B$17,C1416+E1416)+H1416)</f>
        <v/>
      </c>
      <c r="E1416" s="2" t="str">
        <f>IF(A1416="","",C1416*'Loan Inputs'!$B$15)</f>
        <v/>
      </c>
      <c r="F1416" s="2" t="str">
        <f t="shared" si="66"/>
        <v/>
      </c>
      <c r="G1416" s="2" t="str">
        <f t="shared" si="67"/>
        <v/>
      </c>
      <c r="H1416" s="2" t="str">
        <f>IF(A1416="","",MIN('Loan Inputs'!$B$18,MAX(0,C1416+E1416-'Loan Inputs'!$B$17)))</f>
        <v/>
      </c>
    </row>
    <row r="1417" spans="1:8" ht="22" customHeight="1">
      <c r="A1417" s="1" t="str">
        <f>IF(AND('Loan Inputs'!$B$12,1411&lt;=IF('Loan Inputs'!$B$12,'Loan Inputs'!$B$7,0)*'Loan Inputs'!$B$14+5*'Loan Inputs'!$B$14,ISNUMBER(G1416),G1416&gt;0),1411,"")</f>
        <v/>
      </c>
      <c r="B1417" s="4" t="str">
        <f>IF(A1417="","",IF('Loan Inputs'!$B$14=12,DATE(YEAR('Loan Inputs'!$B$8),MONTH('Loan Inputs'!$B$8)+A1417,DAY('Loan Inputs'!$B$8)),'Loan Inputs'!$B$8+A1417*IF('Loan Inputs'!$B$14=26,14,7)))</f>
        <v/>
      </c>
      <c r="C1417" s="2" t="str">
        <f t="shared" si="68"/>
        <v/>
      </c>
      <c r="D1417" s="2" t="str">
        <f>IF(A1417="","",MIN('Loan Inputs'!$B$17,C1417+E1417)+H1417)</f>
        <v/>
      </c>
      <c r="E1417" s="2" t="str">
        <f>IF(A1417="","",C1417*'Loan Inputs'!$B$15)</f>
        <v/>
      </c>
      <c r="F1417" s="2" t="str">
        <f t="shared" si="66"/>
        <v/>
      </c>
      <c r="G1417" s="2" t="str">
        <f t="shared" si="67"/>
        <v/>
      </c>
      <c r="H1417" s="2" t="str">
        <f>IF(A1417="","",MIN('Loan Inputs'!$B$18,MAX(0,C1417+E1417-'Loan Inputs'!$B$17)))</f>
        <v/>
      </c>
    </row>
    <row r="1418" spans="1:8" ht="22" customHeight="1">
      <c r="A1418" s="1" t="str">
        <f>IF(AND('Loan Inputs'!$B$12,1412&lt;=IF('Loan Inputs'!$B$12,'Loan Inputs'!$B$7,0)*'Loan Inputs'!$B$14+5*'Loan Inputs'!$B$14,ISNUMBER(G1417),G1417&gt;0),1412,"")</f>
        <v/>
      </c>
      <c r="B1418" s="4" t="str">
        <f>IF(A1418="","",IF('Loan Inputs'!$B$14=12,DATE(YEAR('Loan Inputs'!$B$8),MONTH('Loan Inputs'!$B$8)+A1418,DAY('Loan Inputs'!$B$8)),'Loan Inputs'!$B$8+A1418*IF('Loan Inputs'!$B$14=26,14,7)))</f>
        <v/>
      </c>
      <c r="C1418" s="2" t="str">
        <f t="shared" si="68"/>
        <v/>
      </c>
      <c r="D1418" s="2" t="str">
        <f>IF(A1418="","",MIN('Loan Inputs'!$B$17,C1418+E1418)+H1418)</f>
        <v/>
      </c>
      <c r="E1418" s="2" t="str">
        <f>IF(A1418="","",C1418*'Loan Inputs'!$B$15)</f>
        <v/>
      </c>
      <c r="F1418" s="2" t="str">
        <f t="shared" si="66"/>
        <v/>
      </c>
      <c r="G1418" s="2" t="str">
        <f t="shared" si="67"/>
        <v/>
      </c>
      <c r="H1418" s="2" t="str">
        <f>IF(A1418="","",MIN('Loan Inputs'!$B$18,MAX(0,C1418+E1418-'Loan Inputs'!$B$17)))</f>
        <v/>
      </c>
    </row>
    <row r="1419" spans="1:8" ht="22" customHeight="1">
      <c r="A1419" s="1" t="str">
        <f>IF(AND('Loan Inputs'!$B$12,1413&lt;=IF('Loan Inputs'!$B$12,'Loan Inputs'!$B$7,0)*'Loan Inputs'!$B$14+5*'Loan Inputs'!$B$14,ISNUMBER(G1418),G1418&gt;0),1413,"")</f>
        <v/>
      </c>
      <c r="B1419" s="4" t="str">
        <f>IF(A1419="","",IF('Loan Inputs'!$B$14=12,DATE(YEAR('Loan Inputs'!$B$8),MONTH('Loan Inputs'!$B$8)+A1419,DAY('Loan Inputs'!$B$8)),'Loan Inputs'!$B$8+A1419*IF('Loan Inputs'!$B$14=26,14,7)))</f>
        <v/>
      </c>
      <c r="C1419" s="2" t="str">
        <f t="shared" si="68"/>
        <v/>
      </c>
      <c r="D1419" s="2" t="str">
        <f>IF(A1419="","",MIN('Loan Inputs'!$B$17,C1419+E1419)+H1419)</f>
        <v/>
      </c>
      <c r="E1419" s="2" t="str">
        <f>IF(A1419="","",C1419*'Loan Inputs'!$B$15)</f>
        <v/>
      </c>
      <c r="F1419" s="2" t="str">
        <f t="shared" si="66"/>
        <v/>
      </c>
      <c r="G1419" s="2" t="str">
        <f t="shared" si="67"/>
        <v/>
      </c>
      <c r="H1419" s="2" t="str">
        <f>IF(A1419="","",MIN('Loan Inputs'!$B$18,MAX(0,C1419+E1419-'Loan Inputs'!$B$17)))</f>
        <v/>
      </c>
    </row>
    <row r="1420" spans="1:8" ht="22" customHeight="1">
      <c r="A1420" s="1" t="str">
        <f>IF(AND('Loan Inputs'!$B$12,1414&lt;=IF('Loan Inputs'!$B$12,'Loan Inputs'!$B$7,0)*'Loan Inputs'!$B$14+5*'Loan Inputs'!$B$14,ISNUMBER(G1419),G1419&gt;0),1414,"")</f>
        <v/>
      </c>
      <c r="B1420" s="4" t="str">
        <f>IF(A1420="","",IF('Loan Inputs'!$B$14=12,DATE(YEAR('Loan Inputs'!$B$8),MONTH('Loan Inputs'!$B$8)+A1420,DAY('Loan Inputs'!$B$8)),'Loan Inputs'!$B$8+A1420*IF('Loan Inputs'!$B$14=26,14,7)))</f>
        <v/>
      </c>
      <c r="C1420" s="2" t="str">
        <f t="shared" si="68"/>
        <v/>
      </c>
      <c r="D1420" s="2" t="str">
        <f>IF(A1420="","",MIN('Loan Inputs'!$B$17,C1420+E1420)+H1420)</f>
        <v/>
      </c>
      <c r="E1420" s="2" t="str">
        <f>IF(A1420="","",C1420*'Loan Inputs'!$B$15)</f>
        <v/>
      </c>
      <c r="F1420" s="2" t="str">
        <f t="shared" si="66"/>
        <v/>
      </c>
      <c r="G1420" s="2" t="str">
        <f t="shared" si="67"/>
        <v/>
      </c>
      <c r="H1420" s="2" t="str">
        <f>IF(A1420="","",MIN('Loan Inputs'!$B$18,MAX(0,C1420+E1420-'Loan Inputs'!$B$17)))</f>
        <v/>
      </c>
    </row>
    <row r="1421" spans="1:8" ht="22" customHeight="1">
      <c r="A1421" s="1" t="str">
        <f>IF(AND('Loan Inputs'!$B$12,1415&lt;=IF('Loan Inputs'!$B$12,'Loan Inputs'!$B$7,0)*'Loan Inputs'!$B$14+5*'Loan Inputs'!$B$14,ISNUMBER(G1420),G1420&gt;0),1415,"")</f>
        <v/>
      </c>
      <c r="B1421" s="4" t="str">
        <f>IF(A1421="","",IF('Loan Inputs'!$B$14=12,DATE(YEAR('Loan Inputs'!$B$8),MONTH('Loan Inputs'!$B$8)+A1421,DAY('Loan Inputs'!$B$8)),'Loan Inputs'!$B$8+A1421*IF('Loan Inputs'!$B$14=26,14,7)))</f>
        <v/>
      </c>
      <c r="C1421" s="2" t="str">
        <f t="shared" si="68"/>
        <v/>
      </c>
      <c r="D1421" s="2" t="str">
        <f>IF(A1421="","",MIN('Loan Inputs'!$B$17,C1421+E1421)+H1421)</f>
        <v/>
      </c>
      <c r="E1421" s="2" t="str">
        <f>IF(A1421="","",C1421*'Loan Inputs'!$B$15)</f>
        <v/>
      </c>
      <c r="F1421" s="2" t="str">
        <f t="shared" si="66"/>
        <v/>
      </c>
      <c r="G1421" s="2" t="str">
        <f t="shared" si="67"/>
        <v/>
      </c>
      <c r="H1421" s="2" t="str">
        <f>IF(A1421="","",MIN('Loan Inputs'!$B$18,MAX(0,C1421+E1421-'Loan Inputs'!$B$17)))</f>
        <v/>
      </c>
    </row>
    <row r="1422" spans="1:8" ht="22" customHeight="1">
      <c r="A1422" s="1" t="str">
        <f>IF(AND('Loan Inputs'!$B$12,1416&lt;=IF('Loan Inputs'!$B$12,'Loan Inputs'!$B$7,0)*'Loan Inputs'!$B$14+5*'Loan Inputs'!$B$14,ISNUMBER(G1421),G1421&gt;0),1416,"")</f>
        <v/>
      </c>
      <c r="B1422" s="4" t="str">
        <f>IF(A1422="","",IF('Loan Inputs'!$B$14=12,DATE(YEAR('Loan Inputs'!$B$8),MONTH('Loan Inputs'!$B$8)+A1422,DAY('Loan Inputs'!$B$8)),'Loan Inputs'!$B$8+A1422*IF('Loan Inputs'!$B$14=26,14,7)))</f>
        <v/>
      </c>
      <c r="C1422" s="2" t="str">
        <f t="shared" si="68"/>
        <v/>
      </c>
      <c r="D1422" s="2" t="str">
        <f>IF(A1422="","",MIN('Loan Inputs'!$B$17,C1422+E1422)+H1422)</f>
        <v/>
      </c>
      <c r="E1422" s="2" t="str">
        <f>IF(A1422="","",C1422*'Loan Inputs'!$B$15)</f>
        <v/>
      </c>
      <c r="F1422" s="2" t="str">
        <f t="shared" si="66"/>
        <v/>
      </c>
      <c r="G1422" s="2" t="str">
        <f t="shared" si="67"/>
        <v/>
      </c>
      <c r="H1422" s="2" t="str">
        <f>IF(A1422="","",MIN('Loan Inputs'!$B$18,MAX(0,C1422+E1422-'Loan Inputs'!$B$17)))</f>
        <v/>
      </c>
    </row>
    <row r="1423" spans="1:8" ht="22" customHeight="1">
      <c r="A1423" s="1" t="str">
        <f>IF(AND('Loan Inputs'!$B$12,1417&lt;=IF('Loan Inputs'!$B$12,'Loan Inputs'!$B$7,0)*'Loan Inputs'!$B$14+5*'Loan Inputs'!$B$14,ISNUMBER(G1422),G1422&gt;0),1417,"")</f>
        <v/>
      </c>
      <c r="B1423" s="4" t="str">
        <f>IF(A1423="","",IF('Loan Inputs'!$B$14=12,DATE(YEAR('Loan Inputs'!$B$8),MONTH('Loan Inputs'!$B$8)+A1423,DAY('Loan Inputs'!$B$8)),'Loan Inputs'!$B$8+A1423*IF('Loan Inputs'!$B$14=26,14,7)))</f>
        <v/>
      </c>
      <c r="C1423" s="2" t="str">
        <f t="shared" si="68"/>
        <v/>
      </c>
      <c r="D1423" s="2" t="str">
        <f>IF(A1423="","",MIN('Loan Inputs'!$B$17,C1423+E1423)+H1423)</f>
        <v/>
      </c>
      <c r="E1423" s="2" t="str">
        <f>IF(A1423="","",C1423*'Loan Inputs'!$B$15)</f>
        <v/>
      </c>
      <c r="F1423" s="2" t="str">
        <f t="shared" si="66"/>
        <v/>
      </c>
      <c r="G1423" s="2" t="str">
        <f t="shared" si="67"/>
        <v/>
      </c>
      <c r="H1423" s="2" t="str">
        <f>IF(A1423="","",MIN('Loan Inputs'!$B$18,MAX(0,C1423+E1423-'Loan Inputs'!$B$17)))</f>
        <v/>
      </c>
    </row>
    <row r="1424" spans="1:8" ht="22" customHeight="1">
      <c r="A1424" s="1" t="str">
        <f>IF(AND('Loan Inputs'!$B$12,1418&lt;=IF('Loan Inputs'!$B$12,'Loan Inputs'!$B$7,0)*'Loan Inputs'!$B$14+5*'Loan Inputs'!$B$14,ISNUMBER(G1423),G1423&gt;0),1418,"")</f>
        <v/>
      </c>
      <c r="B1424" s="4" t="str">
        <f>IF(A1424="","",IF('Loan Inputs'!$B$14=12,DATE(YEAR('Loan Inputs'!$B$8),MONTH('Loan Inputs'!$B$8)+A1424,DAY('Loan Inputs'!$B$8)),'Loan Inputs'!$B$8+A1424*IF('Loan Inputs'!$B$14=26,14,7)))</f>
        <v/>
      </c>
      <c r="C1424" s="2" t="str">
        <f t="shared" si="68"/>
        <v/>
      </c>
      <c r="D1424" s="2" t="str">
        <f>IF(A1424="","",MIN('Loan Inputs'!$B$17,C1424+E1424)+H1424)</f>
        <v/>
      </c>
      <c r="E1424" s="2" t="str">
        <f>IF(A1424="","",C1424*'Loan Inputs'!$B$15)</f>
        <v/>
      </c>
      <c r="F1424" s="2" t="str">
        <f t="shared" si="66"/>
        <v/>
      </c>
      <c r="G1424" s="2" t="str">
        <f t="shared" si="67"/>
        <v/>
      </c>
      <c r="H1424" s="2" t="str">
        <f>IF(A1424="","",MIN('Loan Inputs'!$B$18,MAX(0,C1424+E1424-'Loan Inputs'!$B$17)))</f>
        <v/>
      </c>
    </row>
    <row r="1425" spans="1:8" ht="22" customHeight="1">
      <c r="A1425" s="1" t="str">
        <f>IF(AND('Loan Inputs'!$B$12,1419&lt;=IF('Loan Inputs'!$B$12,'Loan Inputs'!$B$7,0)*'Loan Inputs'!$B$14+5*'Loan Inputs'!$B$14,ISNUMBER(G1424),G1424&gt;0),1419,"")</f>
        <v/>
      </c>
      <c r="B1425" s="4" t="str">
        <f>IF(A1425="","",IF('Loan Inputs'!$B$14=12,DATE(YEAR('Loan Inputs'!$B$8),MONTH('Loan Inputs'!$B$8)+A1425,DAY('Loan Inputs'!$B$8)),'Loan Inputs'!$B$8+A1425*IF('Loan Inputs'!$B$14=26,14,7)))</f>
        <v/>
      </c>
      <c r="C1425" s="2" t="str">
        <f t="shared" si="68"/>
        <v/>
      </c>
      <c r="D1425" s="2" t="str">
        <f>IF(A1425="","",MIN('Loan Inputs'!$B$17,C1425+E1425)+H1425)</f>
        <v/>
      </c>
      <c r="E1425" s="2" t="str">
        <f>IF(A1425="","",C1425*'Loan Inputs'!$B$15)</f>
        <v/>
      </c>
      <c r="F1425" s="2" t="str">
        <f t="shared" si="66"/>
        <v/>
      </c>
      <c r="G1425" s="2" t="str">
        <f t="shared" si="67"/>
        <v/>
      </c>
      <c r="H1425" s="2" t="str">
        <f>IF(A1425="","",MIN('Loan Inputs'!$B$18,MAX(0,C1425+E1425-'Loan Inputs'!$B$17)))</f>
        <v/>
      </c>
    </row>
    <row r="1426" spans="1:8" ht="22" customHeight="1">
      <c r="A1426" s="1" t="str">
        <f>IF(AND('Loan Inputs'!$B$12,1420&lt;=IF('Loan Inputs'!$B$12,'Loan Inputs'!$B$7,0)*'Loan Inputs'!$B$14+5*'Loan Inputs'!$B$14,ISNUMBER(G1425),G1425&gt;0),1420,"")</f>
        <v/>
      </c>
      <c r="B1426" s="4" t="str">
        <f>IF(A1426="","",IF('Loan Inputs'!$B$14=12,DATE(YEAR('Loan Inputs'!$B$8),MONTH('Loan Inputs'!$B$8)+A1426,DAY('Loan Inputs'!$B$8)),'Loan Inputs'!$B$8+A1426*IF('Loan Inputs'!$B$14=26,14,7)))</f>
        <v/>
      </c>
      <c r="C1426" s="2" t="str">
        <f t="shared" si="68"/>
        <v/>
      </c>
      <c r="D1426" s="2" t="str">
        <f>IF(A1426="","",MIN('Loan Inputs'!$B$17,C1426+E1426)+H1426)</f>
        <v/>
      </c>
      <c r="E1426" s="2" t="str">
        <f>IF(A1426="","",C1426*'Loan Inputs'!$B$15)</f>
        <v/>
      </c>
      <c r="F1426" s="2" t="str">
        <f t="shared" si="66"/>
        <v/>
      </c>
      <c r="G1426" s="2" t="str">
        <f t="shared" si="67"/>
        <v/>
      </c>
      <c r="H1426" s="2" t="str">
        <f>IF(A1426="","",MIN('Loan Inputs'!$B$18,MAX(0,C1426+E1426-'Loan Inputs'!$B$17)))</f>
        <v/>
      </c>
    </row>
    <row r="1427" spans="1:8" ht="22" customHeight="1">
      <c r="A1427" s="1" t="str">
        <f>IF(AND('Loan Inputs'!$B$12,1421&lt;=IF('Loan Inputs'!$B$12,'Loan Inputs'!$B$7,0)*'Loan Inputs'!$B$14+5*'Loan Inputs'!$B$14,ISNUMBER(G1426),G1426&gt;0),1421,"")</f>
        <v/>
      </c>
      <c r="B1427" s="4" t="str">
        <f>IF(A1427="","",IF('Loan Inputs'!$B$14=12,DATE(YEAR('Loan Inputs'!$B$8),MONTH('Loan Inputs'!$B$8)+A1427,DAY('Loan Inputs'!$B$8)),'Loan Inputs'!$B$8+A1427*IF('Loan Inputs'!$B$14=26,14,7)))</f>
        <v/>
      </c>
      <c r="C1427" s="2" t="str">
        <f t="shared" si="68"/>
        <v/>
      </c>
      <c r="D1427" s="2" t="str">
        <f>IF(A1427="","",MIN('Loan Inputs'!$B$17,C1427+E1427)+H1427)</f>
        <v/>
      </c>
      <c r="E1427" s="2" t="str">
        <f>IF(A1427="","",C1427*'Loan Inputs'!$B$15)</f>
        <v/>
      </c>
      <c r="F1427" s="2" t="str">
        <f t="shared" si="66"/>
        <v/>
      </c>
      <c r="G1427" s="2" t="str">
        <f t="shared" si="67"/>
        <v/>
      </c>
      <c r="H1427" s="2" t="str">
        <f>IF(A1427="","",MIN('Loan Inputs'!$B$18,MAX(0,C1427+E1427-'Loan Inputs'!$B$17)))</f>
        <v/>
      </c>
    </row>
    <row r="1428" spans="1:8" ht="22" customHeight="1">
      <c r="A1428" s="1" t="str">
        <f>IF(AND('Loan Inputs'!$B$12,1422&lt;=IF('Loan Inputs'!$B$12,'Loan Inputs'!$B$7,0)*'Loan Inputs'!$B$14+5*'Loan Inputs'!$B$14,ISNUMBER(G1427),G1427&gt;0),1422,"")</f>
        <v/>
      </c>
      <c r="B1428" s="4" t="str">
        <f>IF(A1428="","",IF('Loan Inputs'!$B$14=12,DATE(YEAR('Loan Inputs'!$B$8),MONTH('Loan Inputs'!$B$8)+A1428,DAY('Loan Inputs'!$B$8)),'Loan Inputs'!$B$8+A1428*IF('Loan Inputs'!$B$14=26,14,7)))</f>
        <v/>
      </c>
      <c r="C1428" s="2" t="str">
        <f t="shared" si="68"/>
        <v/>
      </c>
      <c r="D1428" s="2" t="str">
        <f>IF(A1428="","",MIN('Loan Inputs'!$B$17,C1428+E1428)+H1428)</f>
        <v/>
      </c>
      <c r="E1428" s="2" t="str">
        <f>IF(A1428="","",C1428*'Loan Inputs'!$B$15)</f>
        <v/>
      </c>
      <c r="F1428" s="2" t="str">
        <f t="shared" si="66"/>
        <v/>
      </c>
      <c r="G1428" s="2" t="str">
        <f t="shared" si="67"/>
        <v/>
      </c>
      <c r="H1428" s="2" t="str">
        <f>IF(A1428="","",MIN('Loan Inputs'!$B$18,MAX(0,C1428+E1428-'Loan Inputs'!$B$17)))</f>
        <v/>
      </c>
    </row>
    <row r="1429" spans="1:8" ht="22" customHeight="1">
      <c r="A1429" s="1" t="str">
        <f>IF(AND('Loan Inputs'!$B$12,1423&lt;=IF('Loan Inputs'!$B$12,'Loan Inputs'!$B$7,0)*'Loan Inputs'!$B$14+5*'Loan Inputs'!$B$14,ISNUMBER(G1428),G1428&gt;0),1423,"")</f>
        <v/>
      </c>
      <c r="B1429" s="4" t="str">
        <f>IF(A1429="","",IF('Loan Inputs'!$B$14=12,DATE(YEAR('Loan Inputs'!$B$8),MONTH('Loan Inputs'!$B$8)+A1429,DAY('Loan Inputs'!$B$8)),'Loan Inputs'!$B$8+A1429*IF('Loan Inputs'!$B$14=26,14,7)))</f>
        <v/>
      </c>
      <c r="C1429" s="2" t="str">
        <f t="shared" si="68"/>
        <v/>
      </c>
      <c r="D1429" s="2" t="str">
        <f>IF(A1429="","",MIN('Loan Inputs'!$B$17,C1429+E1429)+H1429)</f>
        <v/>
      </c>
      <c r="E1429" s="2" t="str">
        <f>IF(A1429="","",C1429*'Loan Inputs'!$B$15)</f>
        <v/>
      </c>
      <c r="F1429" s="2" t="str">
        <f t="shared" si="66"/>
        <v/>
      </c>
      <c r="G1429" s="2" t="str">
        <f t="shared" si="67"/>
        <v/>
      </c>
      <c r="H1429" s="2" t="str">
        <f>IF(A1429="","",MIN('Loan Inputs'!$B$18,MAX(0,C1429+E1429-'Loan Inputs'!$B$17)))</f>
        <v/>
      </c>
    </row>
    <row r="1430" spans="1:8" ht="22" customHeight="1">
      <c r="A1430" s="1" t="str">
        <f>IF(AND('Loan Inputs'!$B$12,1424&lt;=IF('Loan Inputs'!$B$12,'Loan Inputs'!$B$7,0)*'Loan Inputs'!$B$14+5*'Loan Inputs'!$B$14,ISNUMBER(G1429),G1429&gt;0),1424,"")</f>
        <v/>
      </c>
      <c r="B1430" s="4" t="str">
        <f>IF(A1430="","",IF('Loan Inputs'!$B$14=12,DATE(YEAR('Loan Inputs'!$B$8),MONTH('Loan Inputs'!$B$8)+A1430,DAY('Loan Inputs'!$B$8)),'Loan Inputs'!$B$8+A1430*IF('Loan Inputs'!$B$14=26,14,7)))</f>
        <v/>
      </c>
      <c r="C1430" s="2" t="str">
        <f t="shared" si="68"/>
        <v/>
      </c>
      <c r="D1430" s="2" t="str">
        <f>IF(A1430="","",MIN('Loan Inputs'!$B$17,C1430+E1430)+H1430)</f>
        <v/>
      </c>
      <c r="E1430" s="2" t="str">
        <f>IF(A1430="","",C1430*'Loan Inputs'!$B$15)</f>
        <v/>
      </c>
      <c r="F1430" s="2" t="str">
        <f t="shared" si="66"/>
        <v/>
      </c>
      <c r="G1430" s="2" t="str">
        <f t="shared" si="67"/>
        <v/>
      </c>
      <c r="H1430" s="2" t="str">
        <f>IF(A1430="","",MIN('Loan Inputs'!$B$18,MAX(0,C1430+E1430-'Loan Inputs'!$B$17)))</f>
        <v/>
      </c>
    </row>
    <row r="1431" spans="1:8" ht="22" customHeight="1">
      <c r="A1431" s="1" t="str">
        <f>IF(AND('Loan Inputs'!$B$12,1425&lt;=IF('Loan Inputs'!$B$12,'Loan Inputs'!$B$7,0)*'Loan Inputs'!$B$14+5*'Loan Inputs'!$B$14,ISNUMBER(G1430),G1430&gt;0),1425,"")</f>
        <v/>
      </c>
      <c r="B1431" s="4" t="str">
        <f>IF(A1431="","",IF('Loan Inputs'!$B$14=12,DATE(YEAR('Loan Inputs'!$B$8),MONTH('Loan Inputs'!$B$8)+A1431,DAY('Loan Inputs'!$B$8)),'Loan Inputs'!$B$8+A1431*IF('Loan Inputs'!$B$14=26,14,7)))</f>
        <v/>
      </c>
      <c r="C1431" s="2" t="str">
        <f t="shared" si="68"/>
        <v/>
      </c>
      <c r="D1431" s="2" t="str">
        <f>IF(A1431="","",MIN('Loan Inputs'!$B$17,C1431+E1431)+H1431)</f>
        <v/>
      </c>
      <c r="E1431" s="2" t="str">
        <f>IF(A1431="","",C1431*'Loan Inputs'!$B$15)</f>
        <v/>
      </c>
      <c r="F1431" s="2" t="str">
        <f t="shared" si="66"/>
        <v/>
      </c>
      <c r="G1431" s="2" t="str">
        <f t="shared" si="67"/>
        <v/>
      </c>
      <c r="H1431" s="2" t="str">
        <f>IF(A1431="","",MIN('Loan Inputs'!$B$18,MAX(0,C1431+E1431-'Loan Inputs'!$B$17)))</f>
        <v/>
      </c>
    </row>
    <row r="1432" spans="1:8" ht="22" customHeight="1">
      <c r="A1432" s="1" t="str">
        <f>IF(AND('Loan Inputs'!$B$12,1426&lt;=IF('Loan Inputs'!$B$12,'Loan Inputs'!$B$7,0)*'Loan Inputs'!$B$14+5*'Loan Inputs'!$B$14,ISNUMBER(G1431),G1431&gt;0),1426,"")</f>
        <v/>
      </c>
      <c r="B1432" s="4" t="str">
        <f>IF(A1432="","",IF('Loan Inputs'!$B$14=12,DATE(YEAR('Loan Inputs'!$B$8),MONTH('Loan Inputs'!$B$8)+A1432,DAY('Loan Inputs'!$B$8)),'Loan Inputs'!$B$8+A1432*IF('Loan Inputs'!$B$14=26,14,7)))</f>
        <v/>
      </c>
      <c r="C1432" s="2" t="str">
        <f t="shared" si="68"/>
        <v/>
      </c>
      <c r="D1432" s="2" t="str">
        <f>IF(A1432="","",MIN('Loan Inputs'!$B$17,C1432+E1432)+H1432)</f>
        <v/>
      </c>
      <c r="E1432" s="2" t="str">
        <f>IF(A1432="","",C1432*'Loan Inputs'!$B$15)</f>
        <v/>
      </c>
      <c r="F1432" s="2" t="str">
        <f t="shared" si="66"/>
        <v/>
      </c>
      <c r="G1432" s="2" t="str">
        <f t="shared" si="67"/>
        <v/>
      </c>
      <c r="H1432" s="2" t="str">
        <f>IF(A1432="","",MIN('Loan Inputs'!$B$18,MAX(0,C1432+E1432-'Loan Inputs'!$B$17)))</f>
        <v/>
      </c>
    </row>
    <row r="1433" spans="1:8" ht="22" customHeight="1">
      <c r="A1433" s="1" t="str">
        <f>IF(AND('Loan Inputs'!$B$12,1427&lt;=IF('Loan Inputs'!$B$12,'Loan Inputs'!$B$7,0)*'Loan Inputs'!$B$14+5*'Loan Inputs'!$B$14,ISNUMBER(G1432),G1432&gt;0),1427,"")</f>
        <v/>
      </c>
      <c r="B1433" s="4" t="str">
        <f>IF(A1433="","",IF('Loan Inputs'!$B$14=12,DATE(YEAR('Loan Inputs'!$B$8),MONTH('Loan Inputs'!$B$8)+A1433,DAY('Loan Inputs'!$B$8)),'Loan Inputs'!$B$8+A1433*IF('Loan Inputs'!$B$14=26,14,7)))</f>
        <v/>
      </c>
      <c r="C1433" s="2" t="str">
        <f t="shared" si="68"/>
        <v/>
      </c>
      <c r="D1433" s="2" t="str">
        <f>IF(A1433="","",MIN('Loan Inputs'!$B$17,C1433+E1433)+H1433)</f>
        <v/>
      </c>
      <c r="E1433" s="2" t="str">
        <f>IF(A1433="","",C1433*'Loan Inputs'!$B$15)</f>
        <v/>
      </c>
      <c r="F1433" s="2" t="str">
        <f t="shared" si="66"/>
        <v/>
      </c>
      <c r="G1433" s="2" t="str">
        <f t="shared" si="67"/>
        <v/>
      </c>
      <c r="H1433" s="2" t="str">
        <f>IF(A1433="","",MIN('Loan Inputs'!$B$18,MAX(0,C1433+E1433-'Loan Inputs'!$B$17)))</f>
        <v/>
      </c>
    </row>
    <row r="1434" spans="1:8" ht="22" customHeight="1">
      <c r="A1434" s="1" t="str">
        <f>IF(AND('Loan Inputs'!$B$12,1428&lt;=IF('Loan Inputs'!$B$12,'Loan Inputs'!$B$7,0)*'Loan Inputs'!$B$14+5*'Loan Inputs'!$B$14,ISNUMBER(G1433),G1433&gt;0),1428,"")</f>
        <v/>
      </c>
      <c r="B1434" s="4" t="str">
        <f>IF(A1434="","",IF('Loan Inputs'!$B$14=12,DATE(YEAR('Loan Inputs'!$B$8),MONTH('Loan Inputs'!$B$8)+A1434,DAY('Loan Inputs'!$B$8)),'Loan Inputs'!$B$8+A1434*IF('Loan Inputs'!$B$14=26,14,7)))</f>
        <v/>
      </c>
      <c r="C1434" s="2" t="str">
        <f t="shared" si="68"/>
        <v/>
      </c>
      <c r="D1434" s="2" t="str">
        <f>IF(A1434="","",MIN('Loan Inputs'!$B$17,C1434+E1434)+H1434)</f>
        <v/>
      </c>
      <c r="E1434" s="2" t="str">
        <f>IF(A1434="","",C1434*'Loan Inputs'!$B$15)</f>
        <v/>
      </c>
      <c r="F1434" s="2" t="str">
        <f t="shared" si="66"/>
        <v/>
      </c>
      <c r="G1434" s="2" t="str">
        <f t="shared" si="67"/>
        <v/>
      </c>
      <c r="H1434" s="2" t="str">
        <f>IF(A1434="","",MIN('Loan Inputs'!$B$18,MAX(0,C1434+E1434-'Loan Inputs'!$B$17)))</f>
        <v/>
      </c>
    </row>
    <row r="1435" spans="1:8" ht="22" customHeight="1">
      <c r="A1435" s="1" t="str">
        <f>IF(AND('Loan Inputs'!$B$12,1429&lt;=IF('Loan Inputs'!$B$12,'Loan Inputs'!$B$7,0)*'Loan Inputs'!$B$14+5*'Loan Inputs'!$B$14,ISNUMBER(G1434),G1434&gt;0),1429,"")</f>
        <v/>
      </c>
      <c r="B1435" s="4" t="str">
        <f>IF(A1435="","",IF('Loan Inputs'!$B$14=12,DATE(YEAR('Loan Inputs'!$B$8),MONTH('Loan Inputs'!$B$8)+A1435,DAY('Loan Inputs'!$B$8)),'Loan Inputs'!$B$8+A1435*IF('Loan Inputs'!$B$14=26,14,7)))</f>
        <v/>
      </c>
      <c r="C1435" s="2" t="str">
        <f t="shared" si="68"/>
        <v/>
      </c>
      <c r="D1435" s="2" t="str">
        <f>IF(A1435="","",MIN('Loan Inputs'!$B$17,C1435+E1435)+H1435)</f>
        <v/>
      </c>
      <c r="E1435" s="2" t="str">
        <f>IF(A1435="","",C1435*'Loan Inputs'!$B$15)</f>
        <v/>
      </c>
      <c r="F1435" s="2" t="str">
        <f t="shared" si="66"/>
        <v/>
      </c>
      <c r="G1435" s="2" t="str">
        <f t="shared" si="67"/>
        <v/>
      </c>
      <c r="H1435" s="2" t="str">
        <f>IF(A1435="","",MIN('Loan Inputs'!$B$18,MAX(0,C1435+E1435-'Loan Inputs'!$B$17)))</f>
        <v/>
      </c>
    </row>
    <row r="1436" spans="1:8" ht="22" customHeight="1">
      <c r="A1436" s="1" t="str">
        <f>IF(AND('Loan Inputs'!$B$12,1430&lt;=IF('Loan Inputs'!$B$12,'Loan Inputs'!$B$7,0)*'Loan Inputs'!$B$14+5*'Loan Inputs'!$B$14,ISNUMBER(G1435),G1435&gt;0),1430,"")</f>
        <v/>
      </c>
      <c r="B1436" s="4" t="str">
        <f>IF(A1436="","",IF('Loan Inputs'!$B$14=12,DATE(YEAR('Loan Inputs'!$B$8),MONTH('Loan Inputs'!$B$8)+A1436,DAY('Loan Inputs'!$B$8)),'Loan Inputs'!$B$8+A1436*IF('Loan Inputs'!$B$14=26,14,7)))</f>
        <v/>
      </c>
      <c r="C1436" s="2" t="str">
        <f t="shared" si="68"/>
        <v/>
      </c>
      <c r="D1436" s="2" t="str">
        <f>IF(A1436="","",MIN('Loan Inputs'!$B$17,C1436+E1436)+H1436)</f>
        <v/>
      </c>
      <c r="E1436" s="2" t="str">
        <f>IF(A1436="","",C1436*'Loan Inputs'!$B$15)</f>
        <v/>
      </c>
      <c r="F1436" s="2" t="str">
        <f t="shared" si="66"/>
        <v/>
      </c>
      <c r="G1436" s="2" t="str">
        <f t="shared" si="67"/>
        <v/>
      </c>
      <c r="H1436" s="2" t="str">
        <f>IF(A1436="","",MIN('Loan Inputs'!$B$18,MAX(0,C1436+E1436-'Loan Inputs'!$B$17)))</f>
        <v/>
      </c>
    </row>
    <row r="1437" spans="1:8" ht="22" customHeight="1">
      <c r="A1437" s="1" t="str">
        <f>IF(AND('Loan Inputs'!$B$12,1431&lt;=IF('Loan Inputs'!$B$12,'Loan Inputs'!$B$7,0)*'Loan Inputs'!$B$14+5*'Loan Inputs'!$B$14,ISNUMBER(G1436),G1436&gt;0),1431,"")</f>
        <v/>
      </c>
      <c r="B1437" s="4" t="str">
        <f>IF(A1437="","",IF('Loan Inputs'!$B$14=12,DATE(YEAR('Loan Inputs'!$B$8),MONTH('Loan Inputs'!$B$8)+A1437,DAY('Loan Inputs'!$B$8)),'Loan Inputs'!$B$8+A1437*IF('Loan Inputs'!$B$14=26,14,7)))</f>
        <v/>
      </c>
      <c r="C1437" s="2" t="str">
        <f t="shared" si="68"/>
        <v/>
      </c>
      <c r="D1437" s="2" t="str">
        <f>IF(A1437="","",MIN('Loan Inputs'!$B$17,C1437+E1437)+H1437)</f>
        <v/>
      </c>
      <c r="E1437" s="2" t="str">
        <f>IF(A1437="","",C1437*'Loan Inputs'!$B$15)</f>
        <v/>
      </c>
      <c r="F1437" s="2" t="str">
        <f t="shared" si="66"/>
        <v/>
      </c>
      <c r="G1437" s="2" t="str">
        <f t="shared" si="67"/>
        <v/>
      </c>
      <c r="H1437" s="2" t="str">
        <f>IF(A1437="","",MIN('Loan Inputs'!$B$18,MAX(0,C1437+E1437-'Loan Inputs'!$B$17)))</f>
        <v/>
      </c>
    </row>
    <row r="1438" spans="1:8" ht="22" customHeight="1">
      <c r="A1438" s="1" t="str">
        <f>IF(AND('Loan Inputs'!$B$12,1432&lt;=IF('Loan Inputs'!$B$12,'Loan Inputs'!$B$7,0)*'Loan Inputs'!$B$14+5*'Loan Inputs'!$B$14,ISNUMBER(G1437),G1437&gt;0),1432,"")</f>
        <v/>
      </c>
      <c r="B1438" s="4" t="str">
        <f>IF(A1438="","",IF('Loan Inputs'!$B$14=12,DATE(YEAR('Loan Inputs'!$B$8),MONTH('Loan Inputs'!$B$8)+A1438,DAY('Loan Inputs'!$B$8)),'Loan Inputs'!$B$8+A1438*IF('Loan Inputs'!$B$14=26,14,7)))</f>
        <v/>
      </c>
      <c r="C1438" s="2" t="str">
        <f t="shared" si="68"/>
        <v/>
      </c>
      <c r="D1438" s="2" t="str">
        <f>IF(A1438="","",MIN('Loan Inputs'!$B$17,C1438+E1438)+H1438)</f>
        <v/>
      </c>
      <c r="E1438" s="2" t="str">
        <f>IF(A1438="","",C1438*'Loan Inputs'!$B$15)</f>
        <v/>
      </c>
      <c r="F1438" s="2" t="str">
        <f t="shared" si="66"/>
        <v/>
      </c>
      <c r="G1438" s="2" t="str">
        <f t="shared" si="67"/>
        <v/>
      </c>
      <c r="H1438" s="2" t="str">
        <f>IF(A1438="","",MIN('Loan Inputs'!$B$18,MAX(0,C1438+E1438-'Loan Inputs'!$B$17)))</f>
        <v/>
      </c>
    </row>
    <row r="1439" spans="1:8" ht="22" customHeight="1">
      <c r="A1439" s="1" t="str">
        <f>IF(AND('Loan Inputs'!$B$12,1433&lt;=IF('Loan Inputs'!$B$12,'Loan Inputs'!$B$7,0)*'Loan Inputs'!$B$14+5*'Loan Inputs'!$B$14,ISNUMBER(G1438),G1438&gt;0),1433,"")</f>
        <v/>
      </c>
      <c r="B1439" s="4" t="str">
        <f>IF(A1439="","",IF('Loan Inputs'!$B$14=12,DATE(YEAR('Loan Inputs'!$B$8),MONTH('Loan Inputs'!$B$8)+A1439,DAY('Loan Inputs'!$B$8)),'Loan Inputs'!$B$8+A1439*IF('Loan Inputs'!$B$14=26,14,7)))</f>
        <v/>
      </c>
      <c r="C1439" s="2" t="str">
        <f t="shared" si="68"/>
        <v/>
      </c>
      <c r="D1439" s="2" t="str">
        <f>IF(A1439="","",MIN('Loan Inputs'!$B$17,C1439+E1439)+H1439)</f>
        <v/>
      </c>
      <c r="E1439" s="2" t="str">
        <f>IF(A1439="","",C1439*'Loan Inputs'!$B$15)</f>
        <v/>
      </c>
      <c r="F1439" s="2" t="str">
        <f t="shared" si="66"/>
        <v/>
      </c>
      <c r="G1439" s="2" t="str">
        <f t="shared" si="67"/>
        <v/>
      </c>
      <c r="H1439" s="2" t="str">
        <f>IF(A1439="","",MIN('Loan Inputs'!$B$18,MAX(0,C1439+E1439-'Loan Inputs'!$B$17)))</f>
        <v/>
      </c>
    </row>
    <row r="1440" spans="1:8" ht="22" customHeight="1">
      <c r="A1440" s="1" t="str">
        <f>IF(AND('Loan Inputs'!$B$12,1434&lt;=IF('Loan Inputs'!$B$12,'Loan Inputs'!$B$7,0)*'Loan Inputs'!$B$14+5*'Loan Inputs'!$B$14,ISNUMBER(G1439),G1439&gt;0),1434,"")</f>
        <v/>
      </c>
      <c r="B1440" s="4" t="str">
        <f>IF(A1440="","",IF('Loan Inputs'!$B$14=12,DATE(YEAR('Loan Inputs'!$B$8),MONTH('Loan Inputs'!$B$8)+A1440,DAY('Loan Inputs'!$B$8)),'Loan Inputs'!$B$8+A1440*IF('Loan Inputs'!$B$14=26,14,7)))</f>
        <v/>
      </c>
      <c r="C1440" s="2" t="str">
        <f t="shared" si="68"/>
        <v/>
      </c>
      <c r="D1440" s="2" t="str">
        <f>IF(A1440="","",MIN('Loan Inputs'!$B$17,C1440+E1440)+H1440)</f>
        <v/>
      </c>
      <c r="E1440" s="2" t="str">
        <f>IF(A1440="","",C1440*'Loan Inputs'!$B$15)</f>
        <v/>
      </c>
      <c r="F1440" s="2" t="str">
        <f t="shared" si="66"/>
        <v/>
      </c>
      <c r="G1440" s="2" t="str">
        <f t="shared" si="67"/>
        <v/>
      </c>
      <c r="H1440" s="2" t="str">
        <f>IF(A1440="","",MIN('Loan Inputs'!$B$18,MAX(0,C1440+E1440-'Loan Inputs'!$B$17)))</f>
        <v/>
      </c>
    </row>
    <row r="1441" spans="1:8" ht="22" customHeight="1">
      <c r="A1441" s="1" t="str">
        <f>IF(AND('Loan Inputs'!$B$12,1435&lt;=IF('Loan Inputs'!$B$12,'Loan Inputs'!$B$7,0)*'Loan Inputs'!$B$14+5*'Loan Inputs'!$B$14,ISNUMBER(G1440),G1440&gt;0),1435,"")</f>
        <v/>
      </c>
      <c r="B1441" s="4" t="str">
        <f>IF(A1441="","",IF('Loan Inputs'!$B$14=12,DATE(YEAR('Loan Inputs'!$B$8),MONTH('Loan Inputs'!$B$8)+A1441,DAY('Loan Inputs'!$B$8)),'Loan Inputs'!$B$8+A1441*IF('Loan Inputs'!$B$14=26,14,7)))</f>
        <v/>
      </c>
      <c r="C1441" s="2" t="str">
        <f t="shared" si="68"/>
        <v/>
      </c>
      <c r="D1441" s="2" t="str">
        <f>IF(A1441="","",MIN('Loan Inputs'!$B$17,C1441+E1441)+H1441)</f>
        <v/>
      </c>
      <c r="E1441" s="2" t="str">
        <f>IF(A1441="","",C1441*'Loan Inputs'!$B$15)</f>
        <v/>
      </c>
      <c r="F1441" s="2" t="str">
        <f t="shared" si="66"/>
        <v/>
      </c>
      <c r="G1441" s="2" t="str">
        <f t="shared" si="67"/>
        <v/>
      </c>
      <c r="H1441" s="2" t="str">
        <f>IF(A1441="","",MIN('Loan Inputs'!$B$18,MAX(0,C1441+E1441-'Loan Inputs'!$B$17)))</f>
        <v/>
      </c>
    </row>
    <row r="1442" spans="1:8" ht="22" customHeight="1">
      <c r="A1442" s="1" t="str">
        <f>IF(AND('Loan Inputs'!$B$12,1436&lt;=IF('Loan Inputs'!$B$12,'Loan Inputs'!$B$7,0)*'Loan Inputs'!$B$14+5*'Loan Inputs'!$B$14,ISNUMBER(G1441),G1441&gt;0),1436,"")</f>
        <v/>
      </c>
      <c r="B1442" s="4" t="str">
        <f>IF(A1442="","",IF('Loan Inputs'!$B$14=12,DATE(YEAR('Loan Inputs'!$B$8),MONTH('Loan Inputs'!$B$8)+A1442,DAY('Loan Inputs'!$B$8)),'Loan Inputs'!$B$8+A1442*IF('Loan Inputs'!$B$14=26,14,7)))</f>
        <v/>
      </c>
      <c r="C1442" s="2" t="str">
        <f t="shared" si="68"/>
        <v/>
      </c>
      <c r="D1442" s="2" t="str">
        <f>IF(A1442="","",MIN('Loan Inputs'!$B$17,C1442+E1442)+H1442)</f>
        <v/>
      </c>
      <c r="E1442" s="2" t="str">
        <f>IF(A1442="","",C1442*'Loan Inputs'!$B$15)</f>
        <v/>
      </c>
      <c r="F1442" s="2" t="str">
        <f t="shared" si="66"/>
        <v/>
      </c>
      <c r="G1442" s="2" t="str">
        <f t="shared" si="67"/>
        <v/>
      </c>
      <c r="H1442" s="2" t="str">
        <f>IF(A1442="","",MIN('Loan Inputs'!$B$18,MAX(0,C1442+E1442-'Loan Inputs'!$B$17)))</f>
        <v/>
      </c>
    </row>
    <row r="1443" spans="1:8" ht="22" customHeight="1">
      <c r="A1443" s="1" t="str">
        <f>IF(AND('Loan Inputs'!$B$12,1437&lt;=IF('Loan Inputs'!$B$12,'Loan Inputs'!$B$7,0)*'Loan Inputs'!$B$14+5*'Loan Inputs'!$B$14,ISNUMBER(G1442),G1442&gt;0),1437,"")</f>
        <v/>
      </c>
      <c r="B1443" s="4" t="str">
        <f>IF(A1443="","",IF('Loan Inputs'!$B$14=12,DATE(YEAR('Loan Inputs'!$B$8),MONTH('Loan Inputs'!$B$8)+A1443,DAY('Loan Inputs'!$B$8)),'Loan Inputs'!$B$8+A1443*IF('Loan Inputs'!$B$14=26,14,7)))</f>
        <v/>
      </c>
      <c r="C1443" s="2" t="str">
        <f t="shared" si="68"/>
        <v/>
      </c>
      <c r="D1443" s="2" t="str">
        <f>IF(A1443="","",MIN('Loan Inputs'!$B$17,C1443+E1443)+H1443)</f>
        <v/>
      </c>
      <c r="E1443" s="2" t="str">
        <f>IF(A1443="","",C1443*'Loan Inputs'!$B$15)</f>
        <v/>
      </c>
      <c r="F1443" s="2" t="str">
        <f t="shared" si="66"/>
        <v/>
      </c>
      <c r="G1443" s="2" t="str">
        <f t="shared" si="67"/>
        <v/>
      </c>
      <c r="H1443" s="2" t="str">
        <f>IF(A1443="","",MIN('Loan Inputs'!$B$18,MAX(0,C1443+E1443-'Loan Inputs'!$B$17)))</f>
        <v/>
      </c>
    </row>
    <row r="1444" spans="1:8" ht="22" customHeight="1">
      <c r="A1444" s="1" t="str">
        <f>IF(AND('Loan Inputs'!$B$12,1438&lt;=IF('Loan Inputs'!$B$12,'Loan Inputs'!$B$7,0)*'Loan Inputs'!$B$14+5*'Loan Inputs'!$B$14,ISNUMBER(G1443),G1443&gt;0),1438,"")</f>
        <v/>
      </c>
      <c r="B1444" s="4" t="str">
        <f>IF(A1444="","",IF('Loan Inputs'!$B$14=12,DATE(YEAR('Loan Inputs'!$B$8),MONTH('Loan Inputs'!$B$8)+A1444,DAY('Loan Inputs'!$B$8)),'Loan Inputs'!$B$8+A1444*IF('Loan Inputs'!$B$14=26,14,7)))</f>
        <v/>
      </c>
      <c r="C1444" s="2" t="str">
        <f t="shared" si="68"/>
        <v/>
      </c>
      <c r="D1444" s="2" t="str">
        <f>IF(A1444="","",MIN('Loan Inputs'!$B$17,C1444+E1444)+H1444)</f>
        <v/>
      </c>
      <c r="E1444" s="2" t="str">
        <f>IF(A1444="","",C1444*'Loan Inputs'!$B$15)</f>
        <v/>
      </c>
      <c r="F1444" s="2" t="str">
        <f t="shared" si="66"/>
        <v/>
      </c>
      <c r="G1444" s="2" t="str">
        <f t="shared" si="67"/>
        <v/>
      </c>
      <c r="H1444" s="2" t="str">
        <f>IF(A1444="","",MIN('Loan Inputs'!$B$18,MAX(0,C1444+E1444-'Loan Inputs'!$B$17)))</f>
        <v/>
      </c>
    </row>
    <row r="1445" spans="1:8" ht="22" customHeight="1">
      <c r="A1445" s="1" t="str">
        <f>IF(AND('Loan Inputs'!$B$12,1439&lt;=IF('Loan Inputs'!$B$12,'Loan Inputs'!$B$7,0)*'Loan Inputs'!$B$14+5*'Loan Inputs'!$B$14,ISNUMBER(G1444),G1444&gt;0),1439,"")</f>
        <v/>
      </c>
      <c r="B1445" s="4" t="str">
        <f>IF(A1445="","",IF('Loan Inputs'!$B$14=12,DATE(YEAR('Loan Inputs'!$B$8),MONTH('Loan Inputs'!$B$8)+A1445,DAY('Loan Inputs'!$B$8)),'Loan Inputs'!$B$8+A1445*IF('Loan Inputs'!$B$14=26,14,7)))</f>
        <v/>
      </c>
      <c r="C1445" s="2" t="str">
        <f t="shared" si="68"/>
        <v/>
      </c>
      <c r="D1445" s="2" t="str">
        <f>IF(A1445="","",MIN('Loan Inputs'!$B$17,C1445+E1445)+H1445)</f>
        <v/>
      </c>
      <c r="E1445" s="2" t="str">
        <f>IF(A1445="","",C1445*'Loan Inputs'!$B$15)</f>
        <v/>
      </c>
      <c r="F1445" s="2" t="str">
        <f t="shared" si="66"/>
        <v/>
      </c>
      <c r="G1445" s="2" t="str">
        <f t="shared" si="67"/>
        <v/>
      </c>
      <c r="H1445" s="2" t="str">
        <f>IF(A1445="","",MIN('Loan Inputs'!$B$18,MAX(0,C1445+E1445-'Loan Inputs'!$B$17)))</f>
        <v/>
      </c>
    </row>
    <row r="1446" spans="1:8" ht="22" customHeight="1">
      <c r="A1446" s="1" t="str">
        <f>IF(AND('Loan Inputs'!$B$12,1440&lt;=IF('Loan Inputs'!$B$12,'Loan Inputs'!$B$7,0)*'Loan Inputs'!$B$14+5*'Loan Inputs'!$B$14,ISNUMBER(G1445),G1445&gt;0),1440,"")</f>
        <v/>
      </c>
      <c r="B1446" s="4" t="str">
        <f>IF(A1446="","",IF('Loan Inputs'!$B$14=12,DATE(YEAR('Loan Inputs'!$B$8),MONTH('Loan Inputs'!$B$8)+A1446,DAY('Loan Inputs'!$B$8)),'Loan Inputs'!$B$8+A1446*IF('Loan Inputs'!$B$14=26,14,7)))</f>
        <v/>
      </c>
      <c r="C1446" s="2" t="str">
        <f t="shared" si="68"/>
        <v/>
      </c>
      <c r="D1446" s="2" t="str">
        <f>IF(A1446="","",MIN('Loan Inputs'!$B$17,C1446+E1446)+H1446)</f>
        <v/>
      </c>
      <c r="E1446" s="2" t="str">
        <f>IF(A1446="","",C1446*'Loan Inputs'!$B$15)</f>
        <v/>
      </c>
      <c r="F1446" s="2" t="str">
        <f t="shared" si="66"/>
        <v/>
      </c>
      <c r="G1446" s="2" t="str">
        <f t="shared" si="67"/>
        <v/>
      </c>
      <c r="H1446" s="2" t="str">
        <f>IF(A1446="","",MIN('Loan Inputs'!$B$18,MAX(0,C1446+E1446-'Loan Inputs'!$B$17)))</f>
        <v/>
      </c>
    </row>
    <row r="1447" spans="1:8" ht="22" customHeight="1">
      <c r="A1447" s="1" t="str">
        <f>IF(AND('Loan Inputs'!$B$12,1441&lt;=IF('Loan Inputs'!$B$12,'Loan Inputs'!$B$7,0)*'Loan Inputs'!$B$14+5*'Loan Inputs'!$B$14,ISNUMBER(G1446),G1446&gt;0),1441,"")</f>
        <v/>
      </c>
      <c r="B1447" s="4" t="str">
        <f>IF(A1447="","",IF('Loan Inputs'!$B$14=12,DATE(YEAR('Loan Inputs'!$B$8),MONTH('Loan Inputs'!$B$8)+A1447,DAY('Loan Inputs'!$B$8)),'Loan Inputs'!$B$8+A1447*IF('Loan Inputs'!$B$14=26,14,7)))</f>
        <v/>
      </c>
      <c r="C1447" s="2" t="str">
        <f t="shared" si="68"/>
        <v/>
      </c>
      <c r="D1447" s="2" t="str">
        <f>IF(A1447="","",MIN('Loan Inputs'!$B$17,C1447+E1447)+H1447)</f>
        <v/>
      </c>
      <c r="E1447" s="2" t="str">
        <f>IF(A1447="","",C1447*'Loan Inputs'!$B$15)</f>
        <v/>
      </c>
      <c r="F1447" s="2" t="str">
        <f t="shared" si="66"/>
        <v/>
      </c>
      <c r="G1447" s="2" t="str">
        <f t="shared" si="67"/>
        <v/>
      </c>
      <c r="H1447" s="2" t="str">
        <f>IF(A1447="","",MIN('Loan Inputs'!$B$18,MAX(0,C1447+E1447-'Loan Inputs'!$B$17)))</f>
        <v/>
      </c>
    </row>
    <row r="1448" spans="1:8" ht="22" customHeight="1">
      <c r="A1448" s="1" t="str">
        <f>IF(AND('Loan Inputs'!$B$12,1442&lt;=IF('Loan Inputs'!$B$12,'Loan Inputs'!$B$7,0)*'Loan Inputs'!$B$14+5*'Loan Inputs'!$B$14,ISNUMBER(G1447),G1447&gt;0),1442,"")</f>
        <v/>
      </c>
      <c r="B1448" s="4" t="str">
        <f>IF(A1448="","",IF('Loan Inputs'!$B$14=12,DATE(YEAR('Loan Inputs'!$B$8),MONTH('Loan Inputs'!$B$8)+A1448,DAY('Loan Inputs'!$B$8)),'Loan Inputs'!$B$8+A1448*IF('Loan Inputs'!$B$14=26,14,7)))</f>
        <v/>
      </c>
      <c r="C1448" s="2" t="str">
        <f t="shared" si="68"/>
        <v/>
      </c>
      <c r="D1448" s="2" t="str">
        <f>IF(A1448="","",MIN('Loan Inputs'!$B$17,C1448+E1448)+H1448)</f>
        <v/>
      </c>
      <c r="E1448" s="2" t="str">
        <f>IF(A1448="","",C1448*'Loan Inputs'!$B$15)</f>
        <v/>
      </c>
      <c r="F1448" s="2" t="str">
        <f t="shared" si="66"/>
        <v/>
      </c>
      <c r="G1448" s="2" t="str">
        <f t="shared" si="67"/>
        <v/>
      </c>
      <c r="H1448" s="2" t="str">
        <f>IF(A1448="","",MIN('Loan Inputs'!$B$18,MAX(0,C1448+E1448-'Loan Inputs'!$B$17)))</f>
        <v/>
      </c>
    </row>
    <row r="1449" spans="1:8" ht="22" customHeight="1">
      <c r="A1449" s="1" t="str">
        <f>IF(AND('Loan Inputs'!$B$12,1443&lt;=IF('Loan Inputs'!$B$12,'Loan Inputs'!$B$7,0)*'Loan Inputs'!$B$14+5*'Loan Inputs'!$B$14,ISNUMBER(G1448),G1448&gt;0),1443,"")</f>
        <v/>
      </c>
      <c r="B1449" s="4" t="str">
        <f>IF(A1449="","",IF('Loan Inputs'!$B$14=12,DATE(YEAR('Loan Inputs'!$B$8),MONTH('Loan Inputs'!$B$8)+A1449,DAY('Loan Inputs'!$B$8)),'Loan Inputs'!$B$8+A1449*IF('Loan Inputs'!$B$14=26,14,7)))</f>
        <v/>
      </c>
      <c r="C1449" s="2" t="str">
        <f t="shared" si="68"/>
        <v/>
      </c>
      <c r="D1449" s="2" t="str">
        <f>IF(A1449="","",MIN('Loan Inputs'!$B$17,C1449+E1449)+H1449)</f>
        <v/>
      </c>
      <c r="E1449" s="2" t="str">
        <f>IF(A1449="","",C1449*'Loan Inputs'!$B$15)</f>
        <v/>
      </c>
      <c r="F1449" s="2" t="str">
        <f t="shared" si="66"/>
        <v/>
      </c>
      <c r="G1449" s="2" t="str">
        <f t="shared" si="67"/>
        <v/>
      </c>
      <c r="H1449" s="2" t="str">
        <f>IF(A1449="","",MIN('Loan Inputs'!$B$18,MAX(0,C1449+E1449-'Loan Inputs'!$B$17)))</f>
        <v/>
      </c>
    </row>
    <row r="1450" spans="1:8" ht="22" customHeight="1">
      <c r="A1450" s="1" t="str">
        <f>IF(AND('Loan Inputs'!$B$12,1444&lt;=IF('Loan Inputs'!$B$12,'Loan Inputs'!$B$7,0)*'Loan Inputs'!$B$14+5*'Loan Inputs'!$B$14,ISNUMBER(G1449),G1449&gt;0),1444,"")</f>
        <v/>
      </c>
      <c r="B1450" s="4" t="str">
        <f>IF(A1450="","",IF('Loan Inputs'!$B$14=12,DATE(YEAR('Loan Inputs'!$B$8),MONTH('Loan Inputs'!$B$8)+A1450,DAY('Loan Inputs'!$B$8)),'Loan Inputs'!$B$8+A1450*IF('Loan Inputs'!$B$14=26,14,7)))</f>
        <v/>
      </c>
      <c r="C1450" s="2" t="str">
        <f t="shared" si="68"/>
        <v/>
      </c>
      <c r="D1450" s="2" t="str">
        <f>IF(A1450="","",MIN('Loan Inputs'!$B$17,C1450+E1450)+H1450)</f>
        <v/>
      </c>
      <c r="E1450" s="2" t="str">
        <f>IF(A1450="","",C1450*'Loan Inputs'!$B$15)</f>
        <v/>
      </c>
      <c r="F1450" s="2" t="str">
        <f t="shared" si="66"/>
        <v/>
      </c>
      <c r="G1450" s="2" t="str">
        <f t="shared" si="67"/>
        <v/>
      </c>
      <c r="H1450" s="2" t="str">
        <f>IF(A1450="","",MIN('Loan Inputs'!$B$18,MAX(0,C1450+E1450-'Loan Inputs'!$B$17)))</f>
        <v/>
      </c>
    </row>
    <row r="1451" spans="1:8" ht="22" customHeight="1">
      <c r="A1451" s="1" t="str">
        <f>IF(AND('Loan Inputs'!$B$12,1445&lt;=IF('Loan Inputs'!$B$12,'Loan Inputs'!$B$7,0)*'Loan Inputs'!$B$14+5*'Loan Inputs'!$B$14,ISNUMBER(G1450),G1450&gt;0),1445,"")</f>
        <v/>
      </c>
      <c r="B1451" s="4" t="str">
        <f>IF(A1451="","",IF('Loan Inputs'!$B$14=12,DATE(YEAR('Loan Inputs'!$B$8),MONTH('Loan Inputs'!$B$8)+A1451,DAY('Loan Inputs'!$B$8)),'Loan Inputs'!$B$8+A1451*IF('Loan Inputs'!$B$14=26,14,7)))</f>
        <v/>
      </c>
      <c r="C1451" s="2" t="str">
        <f t="shared" si="68"/>
        <v/>
      </c>
      <c r="D1451" s="2" t="str">
        <f>IF(A1451="","",MIN('Loan Inputs'!$B$17,C1451+E1451)+H1451)</f>
        <v/>
      </c>
      <c r="E1451" s="2" t="str">
        <f>IF(A1451="","",C1451*'Loan Inputs'!$B$15)</f>
        <v/>
      </c>
      <c r="F1451" s="2" t="str">
        <f t="shared" si="66"/>
        <v/>
      </c>
      <c r="G1451" s="2" t="str">
        <f t="shared" si="67"/>
        <v/>
      </c>
      <c r="H1451" s="2" t="str">
        <f>IF(A1451="","",MIN('Loan Inputs'!$B$18,MAX(0,C1451+E1451-'Loan Inputs'!$B$17)))</f>
        <v/>
      </c>
    </row>
    <row r="1452" spans="1:8" ht="22" customHeight="1">
      <c r="A1452" s="1" t="str">
        <f>IF(AND('Loan Inputs'!$B$12,1446&lt;=IF('Loan Inputs'!$B$12,'Loan Inputs'!$B$7,0)*'Loan Inputs'!$B$14+5*'Loan Inputs'!$B$14,ISNUMBER(G1451),G1451&gt;0),1446,"")</f>
        <v/>
      </c>
      <c r="B1452" s="4" t="str">
        <f>IF(A1452="","",IF('Loan Inputs'!$B$14=12,DATE(YEAR('Loan Inputs'!$B$8),MONTH('Loan Inputs'!$B$8)+A1452,DAY('Loan Inputs'!$B$8)),'Loan Inputs'!$B$8+A1452*IF('Loan Inputs'!$B$14=26,14,7)))</f>
        <v/>
      </c>
      <c r="C1452" s="2" t="str">
        <f t="shared" si="68"/>
        <v/>
      </c>
      <c r="D1452" s="2" t="str">
        <f>IF(A1452="","",MIN('Loan Inputs'!$B$17,C1452+E1452)+H1452)</f>
        <v/>
      </c>
      <c r="E1452" s="2" t="str">
        <f>IF(A1452="","",C1452*'Loan Inputs'!$B$15)</f>
        <v/>
      </c>
      <c r="F1452" s="2" t="str">
        <f t="shared" si="66"/>
        <v/>
      </c>
      <c r="G1452" s="2" t="str">
        <f t="shared" si="67"/>
        <v/>
      </c>
      <c r="H1452" s="2" t="str">
        <f>IF(A1452="","",MIN('Loan Inputs'!$B$18,MAX(0,C1452+E1452-'Loan Inputs'!$B$17)))</f>
        <v/>
      </c>
    </row>
    <row r="1453" spans="1:8" ht="22" customHeight="1">
      <c r="A1453" s="1" t="str">
        <f>IF(AND('Loan Inputs'!$B$12,1447&lt;=IF('Loan Inputs'!$B$12,'Loan Inputs'!$B$7,0)*'Loan Inputs'!$B$14+5*'Loan Inputs'!$B$14,ISNUMBER(G1452),G1452&gt;0),1447,"")</f>
        <v/>
      </c>
      <c r="B1453" s="4" t="str">
        <f>IF(A1453="","",IF('Loan Inputs'!$B$14=12,DATE(YEAR('Loan Inputs'!$B$8),MONTH('Loan Inputs'!$B$8)+A1453,DAY('Loan Inputs'!$B$8)),'Loan Inputs'!$B$8+A1453*IF('Loan Inputs'!$B$14=26,14,7)))</f>
        <v/>
      </c>
      <c r="C1453" s="2" t="str">
        <f t="shared" si="68"/>
        <v/>
      </c>
      <c r="D1453" s="2" t="str">
        <f>IF(A1453="","",MIN('Loan Inputs'!$B$17,C1453+E1453)+H1453)</f>
        <v/>
      </c>
      <c r="E1453" s="2" t="str">
        <f>IF(A1453="","",C1453*'Loan Inputs'!$B$15)</f>
        <v/>
      </c>
      <c r="F1453" s="2" t="str">
        <f t="shared" si="66"/>
        <v/>
      </c>
      <c r="G1453" s="2" t="str">
        <f t="shared" si="67"/>
        <v/>
      </c>
      <c r="H1453" s="2" t="str">
        <f>IF(A1453="","",MIN('Loan Inputs'!$B$18,MAX(0,C1453+E1453-'Loan Inputs'!$B$17)))</f>
        <v/>
      </c>
    </row>
    <row r="1454" spans="1:8" ht="22" customHeight="1">
      <c r="A1454" s="1" t="str">
        <f>IF(AND('Loan Inputs'!$B$12,1448&lt;=IF('Loan Inputs'!$B$12,'Loan Inputs'!$B$7,0)*'Loan Inputs'!$B$14+5*'Loan Inputs'!$B$14,ISNUMBER(G1453),G1453&gt;0),1448,"")</f>
        <v/>
      </c>
      <c r="B1454" s="4" t="str">
        <f>IF(A1454="","",IF('Loan Inputs'!$B$14=12,DATE(YEAR('Loan Inputs'!$B$8),MONTH('Loan Inputs'!$B$8)+A1454,DAY('Loan Inputs'!$B$8)),'Loan Inputs'!$B$8+A1454*IF('Loan Inputs'!$B$14=26,14,7)))</f>
        <v/>
      </c>
      <c r="C1454" s="2" t="str">
        <f t="shared" si="68"/>
        <v/>
      </c>
      <c r="D1454" s="2" t="str">
        <f>IF(A1454="","",MIN('Loan Inputs'!$B$17,C1454+E1454)+H1454)</f>
        <v/>
      </c>
      <c r="E1454" s="2" t="str">
        <f>IF(A1454="","",C1454*'Loan Inputs'!$B$15)</f>
        <v/>
      </c>
      <c r="F1454" s="2" t="str">
        <f t="shared" si="66"/>
        <v/>
      </c>
      <c r="G1454" s="2" t="str">
        <f t="shared" si="67"/>
        <v/>
      </c>
      <c r="H1454" s="2" t="str">
        <f>IF(A1454="","",MIN('Loan Inputs'!$B$18,MAX(0,C1454+E1454-'Loan Inputs'!$B$17)))</f>
        <v/>
      </c>
    </row>
    <row r="1455" spans="1:8" ht="22" customHeight="1">
      <c r="A1455" s="1" t="str">
        <f>IF(AND('Loan Inputs'!$B$12,1449&lt;=IF('Loan Inputs'!$B$12,'Loan Inputs'!$B$7,0)*'Loan Inputs'!$B$14+5*'Loan Inputs'!$B$14,ISNUMBER(G1454),G1454&gt;0),1449,"")</f>
        <v/>
      </c>
      <c r="B1455" s="4" t="str">
        <f>IF(A1455="","",IF('Loan Inputs'!$B$14=12,DATE(YEAR('Loan Inputs'!$B$8),MONTH('Loan Inputs'!$B$8)+A1455,DAY('Loan Inputs'!$B$8)),'Loan Inputs'!$B$8+A1455*IF('Loan Inputs'!$B$14=26,14,7)))</f>
        <v/>
      </c>
      <c r="C1455" s="2" t="str">
        <f t="shared" si="68"/>
        <v/>
      </c>
      <c r="D1455" s="2" t="str">
        <f>IF(A1455="","",MIN('Loan Inputs'!$B$17,C1455+E1455)+H1455)</f>
        <v/>
      </c>
      <c r="E1455" s="2" t="str">
        <f>IF(A1455="","",C1455*'Loan Inputs'!$B$15)</f>
        <v/>
      </c>
      <c r="F1455" s="2" t="str">
        <f t="shared" si="66"/>
        <v/>
      </c>
      <c r="G1455" s="2" t="str">
        <f t="shared" si="67"/>
        <v/>
      </c>
      <c r="H1455" s="2" t="str">
        <f>IF(A1455="","",MIN('Loan Inputs'!$B$18,MAX(0,C1455+E1455-'Loan Inputs'!$B$17)))</f>
        <v/>
      </c>
    </row>
    <row r="1456" spans="1:8" ht="22" customHeight="1">
      <c r="A1456" s="1" t="str">
        <f>IF(AND('Loan Inputs'!$B$12,1450&lt;=IF('Loan Inputs'!$B$12,'Loan Inputs'!$B$7,0)*'Loan Inputs'!$B$14+5*'Loan Inputs'!$B$14,ISNUMBER(G1455),G1455&gt;0),1450,"")</f>
        <v/>
      </c>
      <c r="B1456" s="4" t="str">
        <f>IF(A1456="","",IF('Loan Inputs'!$B$14=12,DATE(YEAR('Loan Inputs'!$B$8),MONTH('Loan Inputs'!$B$8)+A1456,DAY('Loan Inputs'!$B$8)),'Loan Inputs'!$B$8+A1456*IF('Loan Inputs'!$B$14=26,14,7)))</f>
        <v/>
      </c>
      <c r="C1456" s="2" t="str">
        <f t="shared" si="68"/>
        <v/>
      </c>
      <c r="D1456" s="2" t="str">
        <f>IF(A1456="","",MIN('Loan Inputs'!$B$17,C1456+E1456)+H1456)</f>
        <v/>
      </c>
      <c r="E1456" s="2" t="str">
        <f>IF(A1456="","",C1456*'Loan Inputs'!$B$15)</f>
        <v/>
      </c>
      <c r="F1456" s="2" t="str">
        <f t="shared" si="66"/>
        <v/>
      </c>
      <c r="G1456" s="2" t="str">
        <f t="shared" si="67"/>
        <v/>
      </c>
      <c r="H1456" s="2" t="str">
        <f>IF(A1456="","",MIN('Loan Inputs'!$B$18,MAX(0,C1456+E1456-'Loan Inputs'!$B$17)))</f>
        <v/>
      </c>
    </row>
    <row r="1457" spans="1:8" ht="22" customHeight="1">
      <c r="A1457" s="1" t="str">
        <f>IF(AND('Loan Inputs'!$B$12,1451&lt;=IF('Loan Inputs'!$B$12,'Loan Inputs'!$B$7,0)*'Loan Inputs'!$B$14+5*'Loan Inputs'!$B$14,ISNUMBER(G1456),G1456&gt;0),1451,"")</f>
        <v/>
      </c>
      <c r="B1457" s="4" t="str">
        <f>IF(A1457="","",IF('Loan Inputs'!$B$14=12,DATE(YEAR('Loan Inputs'!$B$8),MONTH('Loan Inputs'!$B$8)+A1457,DAY('Loan Inputs'!$B$8)),'Loan Inputs'!$B$8+A1457*IF('Loan Inputs'!$B$14=26,14,7)))</f>
        <v/>
      </c>
      <c r="C1457" s="2" t="str">
        <f t="shared" si="68"/>
        <v/>
      </c>
      <c r="D1457" s="2" t="str">
        <f>IF(A1457="","",MIN('Loan Inputs'!$B$17,C1457+E1457)+H1457)</f>
        <v/>
      </c>
      <c r="E1457" s="2" t="str">
        <f>IF(A1457="","",C1457*'Loan Inputs'!$B$15)</f>
        <v/>
      </c>
      <c r="F1457" s="2" t="str">
        <f t="shared" si="66"/>
        <v/>
      </c>
      <c r="G1457" s="2" t="str">
        <f t="shared" si="67"/>
        <v/>
      </c>
      <c r="H1457" s="2" t="str">
        <f>IF(A1457="","",MIN('Loan Inputs'!$B$18,MAX(0,C1457+E1457-'Loan Inputs'!$B$17)))</f>
        <v/>
      </c>
    </row>
    <row r="1458" spans="1:8" ht="22" customHeight="1">
      <c r="A1458" s="1" t="str">
        <f>IF(AND('Loan Inputs'!$B$12,1452&lt;=IF('Loan Inputs'!$B$12,'Loan Inputs'!$B$7,0)*'Loan Inputs'!$B$14+5*'Loan Inputs'!$B$14,ISNUMBER(G1457),G1457&gt;0),1452,"")</f>
        <v/>
      </c>
      <c r="B1458" s="4" t="str">
        <f>IF(A1458="","",IF('Loan Inputs'!$B$14=12,DATE(YEAR('Loan Inputs'!$B$8),MONTH('Loan Inputs'!$B$8)+A1458,DAY('Loan Inputs'!$B$8)),'Loan Inputs'!$B$8+A1458*IF('Loan Inputs'!$B$14=26,14,7)))</f>
        <v/>
      </c>
      <c r="C1458" s="2" t="str">
        <f t="shared" si="68"/>
        <v/>
      </c>
      <c r="D1458" s="2" t="str">
        <f>IF(A1458="","",MIN('Loan Inputs'!$B$17,C1458+E1458)+H1458)</f>
        <v/>
      </c>
      <c r="E1458" s="2" t="str">
        <f>IF(A1458="","",C1458*'Loan Inputs'!$B$15)</f>
        <v/>
      </c>
      <c r="F1458" s="2" t="str">
        <f t="shared" si="66"/>
        <v/>
      </c>
      <c r="G1458" s="2" t="str">
        <f t="shared" si="67"/>
        <v/>
      </c>
      <c r="H1458" s="2" t="str">
        <f>IF(A1458="","",MIN('Loan Inputs'!$B$18,MAX(0,C1458+E1458-'Loan Inputs'!$B$17)))</f>
        <v/>
      </c>
    </row>
    <row r="1459" spans="1:8" ht="22" customHeight="1">
      <c r="A1459" s="1" t="str">
        <f>IF(AND('Loan Inputs'!$B$12,1453&lt;=IF('Loan Inputs'!$B$12,'Loan Inputs'!$B$7,0)*'Loan Inputs'!$B$14+5*'Loan Inputs'!$B$14,ISNUMBER(G1458),G1458&gt;0),1453,"")</f>
        <v/>
      </c>
      <c r="B1459" s="4" t="str">
        <f>IF(A1459="","",IF('Loan Inputs'!$B$14=12,DATE(YEAR('Loan Inputs'!$B$8),MONTH('Loan Inputs'!$B$8)+A1459,DAY('Loan Inputs'!$B$8)),'Loan Inputs'!$B$8+A1459*IF('Loan Inputs'!$B$14=26,14,7)))</f>
        <v/>
      </c>
      <c r="C1459" s="2" t="str">
        <f t="shared" si="68"/>
        <v/>
      </c>
      <c r="D1459" s="2" t="str">
        <f>IF(A1459="","",MIN('Loan Inputs'!$B$17,C1459+E1459)+H1459)</f>
        <v/>
      </c>
      <c r="E1459" s="2" t="str">
        <f>IF(A1459="","",C1459*'Loan Inputs'!$B$15)</f>
        <v/>
      </c>
      <c r="F1459" s="2" t="str">
        <f t="shared" si="66"/>
        <v/>
      </c>
      <c r="G1459" s="2" t="str">
        <f t="shared" si="67"/>
        <v/>
      </c>
      <c r="H1459" s="2" t="str">
        <f>IF(A1459="","",MIN('Loan Inputs'!$B$18,MAX(0,C1459+E1459-'Loan Inputs'!$B$17)))</f>
        <v/>
      </c>
    </row>
    <row r="1460" spans="1:8" ht="22" customHeight="1">
      <c r="A1460" s="1" t="str">
        <f>IF(AND('Loan Inputs'!$B$12,1454&lt;=IF('Loan Inputs'!$B$12,'Loan Inputs'!$B$7,0)*'Loan Inputs'!$B$14+5*'Loan Inputs'!$B$14,ISNUMBER(G1459),G1459&gt;0),1454,"")</f>
        <v/>
      </c>
      <c r="B1460" s="4" t="str">
        <f>IF(A1460="","",IF('Loan Inputs'!$B$14=12,DATE(YEAR('Loan Inputs'!$B$8),MONTH('Loan Inputs'!$B$8)+A1460,DAY('Loan Inputs'!$B$8)),'Loan Inputs'!$B$8+A1460*IF('Loan Inputs'!$B$14=26,14,7)))</f>
        <v/>
      </c>
      <c r="C1460" s="2" t="str">
        <f t="shared" si="68"/>
        <v/>
      </c>
      <c r="D1460" s="2" t="str">
        <f>IF(A1460="","",MIN('Loan Inputs'!$B$17,C1460+E1460)+H1460)</f>
        <v/>
      </c>
      <c r="E1460" s="2" t="str">
        <f>IF(A1460="","",C1460*'Loan Inputs'!$B$15)</f>
        <v/>
      </c>
      <c r="F1460" s="2" t="str">
        <f t="shared" si="66"/>
        <v/>
      </c>
      <c r="G1460" s="2" t="str">
        <f t="shared" si="67"/>
        <v/>
      </c>
      <c r="H1460" s="2" t="str">
        <f>IF(A1460="","",MIN('Loan Inputs'!$B$18,MAX(0,C1460+E1460-'Loan Inputs'!$B$17)))</f>
        <v/>
      </c>
    </row>
    <row r="1461" spans="1:8" ht="22" customHeight="1">
      <c r="A1461" s="1" t="str">
        <f>IF(AND('Loan Inputs'!$B$12,1455&lt;=IF('Loan Inputs'!$B$12,'Loan Inputs'!$B$7,0)*'Loan Inputs'!$B$14+5*'Loan Inputs'!$B$14,ISNUMBER(G1460),G1460&gt;0),1455,"")</f>
        <v/>
      </c>
      <c r="B1461" s="4" t="str">
        <f>IF(A1461="","",IF('Loan Inputs'!$B$14=12,DATE(YEAR('Loan Inputs'!$B$8),MONTH('Loan Inputs'!$B$8)+A1461,DAY('Loan Inputs'!$B$8)),'Loan Inputs'!$B$8+A1461*IF('Loan Inputs'!$B$14=26,14,7)))</f>
        <v/>
      </c>
      <c r="C1461" s="2" t="str">
        <f t="shared" si="68"/>
        <v/>
      </c>
      <c r="D1461" s="2" t="str">
        <f>IF(A1461="","",MIN('Loan Inputs'!$B$17,C1461+E1461)+H1461)</f>
        <v/>
      </c>
      <c r="E1461" s="2" t="str">
        <f>IF(A1461="","",C1461*'Loan Inputs'!$B$15)</f>
        <v/>
      </c>
      <c r="F1461" s="2" t="str">
        <f t="shared" si="66"/>
        <v/>
      </c>
      <c r="G1461" s="2" t="str">
        <f t="shared" si="67"/>
        <v/>
      </c>
      <c r="H1461" s="2" t="str">
        <f>IF(A1461="","",MIN('Loan Inputs'!$B$18,MAX(0,C1461+E1461-'Loan Inputs'!$B$17)))</f>
        <v/>
      </c>
    </row>
    <row r="1462" spans="1:8" ht="22" customHeight="1">
      <c r="A1462" s="1" t="str">
        <f>IF(AND('Loan Inputs'!$B$12,1456&lt;=IF('Loan Inputs'!$B$12,'Loan Inputs'!$B$7,0)*'Loan Inputs'!$B$14+5*'Loan Inputs'!$B$14,ISNUMBER(G1461),G1461&gt;0),1456,"")</f>
        <v/>
      </c>
      <c r="B1462" s="4" t="str">
        <f>IF(A1462="","",IF('Loan Inputs'!$B$14=12,DATE(YEAR('Loan Inputs'!$B$8),MONTH('Loan Inputs'!$B$8)+A1462,DAY('Loan Inputs'!$B$8)),'Loan Inputs'!$B$8+A1462*IF('Loan Inputs'!$B$14=26,14,7)))</f>
        <v/>
      </c>
      <c r="C1462" s="2" t="str">
        <f t="shared" si="68"/>
        <v/>
      </c>
      <c r="D1462" s="2" t="str">
        <f>IF(A1462="","",MIN('Loan Inputs'!$B$17,C1462+E1462)+H1462)</f>
        <v/>
      </c>
      <c r="E1462" s="2" t="str">
        <f>IF(A1462="","",C1462*'Loan Inputs'!$B$15)</f>
        <v/>
      </c>
      <c r="F1462" s="2" t="str">
        <f t="shared" si="66"/>
        <v/>
      </c>
      <c r="G1462" s="2" t="str">
        <f t="shared" si="67"/>
        <v/>
      </c>
      <c r="H1462" s="2" t="str">
        <f>IF(A1462="","",MIN('Loan Inputs'!$B$18,MAX(0,C1462+E1462-'Loan Inputs'!$B$17)))</f>
        <v/>
      </c>
    </row>
    <row r="1463" spans="1:8" ht="22" customHeight="1">
      <c r="A1463" s="1" t="str">
        <f>IF(AND('Loan Inputs'!$B$12,1457&lt;=IF('Loan Inputs'!$B$12,'Loan Inputs'!$B$7,0)*'Loan Inputs'!$B$14+5*'Loan Inputs'!$B$14,ISNUMBER(G1462),G1462&gt;0),1457,"")</f>
        <v/>
      </c>
      <c r="B1463" s="4" t="str">
        <f>IF(A1463="","",IF('Loan Inputs'!$B$14=12,DATE(YEAR('Loan Inputs'!$B$8),MONTH('Loan Inputs'!$B$8)+A1463,DAY('Loan Inputs'!$B$8)),'Loan Inputs'!$B$8+A1463*IF('Loan Inputs'!$B$14=26,14,7)))</f>
        <v/>
      </c>
      <c r="C1463" s="2" t="str">
        <f t="shared" si="68"/>
        <v/>
      </c>
      <c r="D1463" s="2" t="str">
        <f>IF(A1463="","",MIN('Loan Inputs'!$B$17,C1463+E1463)+H1463)</f>
        <v/>
      </c>
      <c r="E1463" s="2" t="str">
        <f>IF(A1463="","",C1463*'Loan Inputs'!$B$15)</f>
        <v/>
      </c>
      <c r="F1463" s="2" t="str">
        <f t="shared" si="66"/>
        <v/>
      </c>
      <c r="G1463" s="2" t="str">
        <f t="shared" si="67"/>
        <v/>
      </c>
      <c r="H1463" s="2" t="str">
        <f>IF(A1463="","",MIN('Loan Inputs'!$B$18,MAX(0,C1463+E1463-'Loan Inputs'!$B$17)))</f>
        <v/>
      </c>
    </row>
    <row r="1464" spans="1:8" ht="22" customHeight="1">
      <c r="A1464" s="1" t="str">
        <f>IF(AND('Loan Inputs'!$B$12,1458&lt;=IF('Loan Inputs'!$B$12,'Loan Inputs'!$B$7,0)*'Loan Inputs'!$B$14+5*'Loan Inputs'!$B$14,ISNUMBER(G1463),G1463&gt;0),1458,"")</f>
        <v/>
      </c>
      <c r="B1464" s="4" t="str">
        <f>IF(A1464="","",IF('Loan Inputs'!$B$14=12,DATE(YEAR('Loan Inputs'!$B$8),MONTH('Loan Inputs'!$B$8)+A1464,DAY('Loan Inputs'!$B$8)),'Loan Inputs'!$B$8+A1464*IF('Loan Inputs'!$B$14=26,14,7)))</f>
        <v/>
      </c>
      <c r="C1464" s="2" t="str">
        <f t="shared" si="68"/>
        <v/>
      </c>
      <c r="D1464" s="2" t="str">
        <f>IF(A1464="","",MIN('Loan Inputs'!$B$17,C1464+E1464)+H1464)</f>
        <v/>
      </c>
      <c r="E1464" s="2" t="str">
        <f>IF(A1464="","",C1464*'Loan Inputs'!$B$15)</f>
        <v/>
      </c>
      <c r="F1464" s="2" t="str">
        <f t="shared" si="66"/>
        <v/>
      </c>
      <c r="G1464" s="2" t="str">
        <f t="shared" si="67"/>
        <v/>
      </c>
      <c r="H1464" s="2" t="str">
        <f>IF(A1464="","",MIN('Loan Inputs'!$B$18,MAX(0,C1464+E1464-'Loan Inputs'!$B$17)))</f>
        <v/>
      </c>
    </row>
    <row r="1465" spans="1:8" ht="22" customHeight="1">
      <c r="A1465" s="1" t="str">
        <f>IF(AND('Loan Inputs'!$B$12,1459&lt;=IF('Loan Inputs'!$B$12,'Loan Inputs'!$B$7,0)*'Loan Inputs'!$B$14+5*'Loan Inputs'!$B$14,ISNUMBER(G1464),G1464&gt;0),1459,"")</f>
        <v/>
      </c>
      <c r="B1465" s="4" t="str">
        <f>IF(A1465="","",IF('Loan Inputs'!$B$14=12,DATE(YEAR('Loan Inputs'!$B$8),MONTH('Loan Inputs'!$B$8)+A1465,DAY('Loan Inputs'!$B$8)),'Loan Inputs'!$B$8+A1465*IF('Loan Inputs'!$B$14=26,14,7)))</f>
        <v/>
      </c>
      <c r="C1465" s="2" t="str">
        <f t="shared" si="68"/>
        <v/>
      </c>
      <c r="D1465" s="2" t="str">
        <f>IF(A1465="","",MIN('Loan Inputs'!$B$17,C1465+E1465)+H1465)</f>
        <v/>
      </c>
      <c r="E1465" s="2" t="str">
        <f>IF(A1465="","",C1465*'Loan Inputs'!$B$15)</f>
        <v/>
      </c>
      <c r="F1465" s="2" t="str">
        <f t="shared" si="66"/>
        <v/>
      </c>
      <c r="G1465" s="2" t="str">
        <f t="shared" si="67"/>
        <v/>
      </c>
      <c r="H1465" s="2" t="str">
        <f>IF(A1465="","",MIN('Loan Inputs'!$B$18,MAX(0,C1465+E1465-'Loan Inputs'!$B$17)))</f>
        <v/>
      </c>
    </row>
    <row r="1466" spans="1:8" ht="22" customHeight="1">
      <c r="A1466" s="1" t="str">
        <f>IF(AND('Loan Inputs'!$B$12,1460&lt;=IF('Loan Inputs'!$B$12,'Loan Inputs'!$B$7,0)*'Loan Inputs'!$B$14+5*'Loan Inputs'!$B$14,ISNUMBER(G1465),G1465&gt;0),1460,"")</f>
        <v/>
      </c>
      <c r="B1466" s="4" t="str">
        <f>IF(A1466="","",IF('Loan Inputs'!$B$14=12,DATE(YEAR('Loan Inputs'!$B$8),MONTH('Loan Inputs'!$B$8)+A1466,DAY('Loan Inputs'!$B$8)),'Loan Inputs'!$B$8+A1466*IF('Loan Inputs'!$B$14=26,14,7)))</f>
        <v/>
      </c>
      <c r="C1466" s="2" t="str">
        <f t="shared" si="68"/>
        <v/>
      </c>
      <c r="D1466" s="2" t="str">
        <f>IF(A1466="","",MIN('Loan Inputs'!$B$17,C1466+E1466)+H1466)</f>
        <v/>
      </c>
      <c r="E1466" s="2" t="str">
        <f>IF(A1466="","",C1466*'Loan Inputs'!$B$15)</f>
        <v/>
      </c>
      <c r="F1466" s="2" t="str">
        <f t="shared" si="66"/>
        <v/>
      </c>
      <c r="G1466" s="2" t="str">
        <f t="shared" si="67"/>
        <v/>
      </c>
      <c r="H1466" s="2" t="str">
        <f>IF(A1466="","",MIN('Loan Inputs'!$B$18,MAX(0,C1466+E1466-'Loan Inputs'!$B$17)))</f>
        <v/>
      </c>
    </row>
    <row r="1467" spans="1:8" ht="22" customHeight="1">
      <c r="A1467" s="1" t="str">
        <f>IF(AND('Loan Inputs'!$B$12,1461&lt;=IF('Loan Inputs'!$B$12,'Loan Inputs'!$B$7,0)*'Loan Inputs'!$B$14+5*'Loan Inputs'!$B$14,ISNUMBER(G1466),G1466&gt;0),1461,"")</f>
        <v/>
      </c>
      <c r="B1467" s="4" t="str">
        <f>IF(A1467="","",IF('Loan Inputs'!$B$14=12,DATE(YEAR('Loan Inputs'!$B$8),MONTH('Loan Inputs'!$B$8)+A1467,DAY('Loan Inputs'!$B$8)),'Loan Inputs'!$B$8+A1467*IF('Loan Inputs'!$B$14=26,14,7)))</f>
        <v/>
      </c>
      <c r="C1467" s="2" t="str">
        <f t="shared" si="68"/>
        <v/>
      </c>
      <c r="D1467" s="2" t="str">
        <f>IF(A1467="","",MIN('Loan Inputs'!$B$17,C1467+E1467)+H1467)</f>
        <v/>
      </c>
      <c r="E1467" s="2" t="str">
        <f>IF(A1467="","",C1467*'Loan Inputs'!$B$15)</f>
        <v/>
      </c>
      <c r="F1467" s="2" t="str">
        <f t="shared" si="66"/>
        <v/>
      </c>
      <c r="G1467" s="2" t="str">
        <f t="shared" si="67"/>
        <v/>
      </c>
      <c r="H1467" s="2" t="str">
        <f>IF(A1467="","",MIN('Loan Inputs'!$B$18,MAX(0,C1467+E1467-'Loan Inputs'!$B$17)))</f>
        <v/>
      </c>
    </row>
    <row r="1468" spans="1:8" ht="22" customHeight="1">
      <c r="A1468" s="1" t="str">
        <f>IF(AND('Loan Inputs'!$B$12,1462&lt;=IF('Loan Inputs'!$B$12,'Loan Inputs'!$B$7,0)*'Loan Inputs'!$B$14+5*'Loan Inputs'!$B$14,ISNUMBER(G1467),G1467&gt;0),1462,"")</f>
        <v/>
      </c>
      <c r="B1468" s="4" t="str">
        <f>IF(A1468="","",IF('Loan Inputs'!$B$14=12,DATE(YEAR('Loan Inputs'!$B$8),MONTH('Loan Inputs'!$B$8)+A1468,DAY('Loan Inputs'!$B$8)),'Loan Inputs'!$B$8+A1468*IF('Loan Inputs'!$B$14=26,14,7)))</f>
        <v/>
      </c>
      <c r="C1468" s="2" t="str">
        <f t="shared" si="68"/>
        <v/>
      </c>
      <c r="D1468" s="2" t="str">
        <f>IF(A1468="","",MIN('Loan Inputs'!$B$17,C1468+E1468)+H1468)</f>
        <v/>
      </c>
      <c r="E1468" s="2" t="str">
        <f>IF(A1468="","",C1468*'Loan Inputs'!$B$15)</f>
        <v/>
      </c>
      <c r="F1468" s="2" t="str">
        <f t="shared" si="66"/>
        <v/>
      </c>
      <c r="G1468" s="2" t="str">
        <f t="shared" si="67"/>
        <v/>
      </c>
      <c r="H1468" s="2" t="str">
        <f>IF(A1468="","",MIN('Loan Inputs'!$B$18,MAX(0,C1468+E1468-'Loan Inputs'!$B$17)))</f>
        <v/>
      </c>
    </row>
    <row r="1469" spans="1:8" ht="22" customHeight="1">
      <c r="A1469" s="1" t="str">
        <f>IF(AND('Loan Inputs'!$B$12,1463&lt;=IF('Loan Inputs'!$B$12,'Loan Inputs'!$B$7,0)*'Loan Inputs'!$B$14+5*'Loan Inputs'!$B$14,ISNUMBER(G1468),G1468&gt;0),1463,"")</f>
        <v/>
      </c>
      <c r="B1469" s="4" t="str">
        <f>IF(A1469="","",IF('Loan Inputs'!$B$14=12,DATE(YEAR('Loan Inputs'!$B$8),MONTH('Loan Inputs'!$B$8)+A1469,DAY('Loan Inputs'!$B$8)),'Loan Inputs'!$B$8+A1469*IF('Loan Inputs'!$B$14=26,14,7)))</f>
        <v/>
      </c>
      <c r="C1469" s="2" t="str">
        <f t="shared" si="68"/>
        <v/>
      </c>
      <c r="D1469" s="2" t="str">
        <f>IF(A1469="","",MIN('Loan Inputs'!$B$17,C1469+E1469)+H1469)</f>
        <v/>
      </c>
      <c r="E1469" s="2" t="str">
        <f>IF(A1469="","",C1469*'Loan Inputs'!$B$15)</f>
        <v/>
      </c>
      <c r="F1469" s="2" t="str">
        <f t="shared" si="66"/>
        <v/>
      </c>
      <c r="G1469" s="2" t="str">
        <f t="shared" si="67"/>
        <v/>
      </c>
      <c r="H1469" s="2" t="str">
        <f>IF(A1469="","",MIN('Loan Inputs'!$B$18,MAX(0,C1469+E1469-'Loan Inputs'!$B$17)))</f>
        <v/>
      </c>
    </row>
    <row r="1470" spans="1:8" ht="22" customHeight="1">
      <c r="A1470" s="1" t="str">
        <f>IF(AND('Loan Inputs'!$B$12,1464&lt;=IF('Loan Inputs'!$B$12,'Loan Inputs'!$B$7,0)*'Loan Inputs'!$B$14+5*'Loan Inputs'!$B$14,ISNUMBER(G1469),G1469&gt;0),1464,"")</f>
        <v/>
      </c>
      <c r="B1470" s="4" t="str">
        <f>IF(A1470="","",IF('Loan Inputs'!$B$14=12,DATE(YEAR('Loan Inputs'!$B$8),MONTH('Loan Inputs'!$B$8)+A1470,DAY('Loan Inputs'!$B$8)),'Loan Inputs'!$B$8+A1470*IF('Loan Inputs'!$B$14=26,14,7)))</f>
        <v/>
      </c>
      <c r="C1470" s="2" t="str">
        <f t="shared" si="68"/>
        <v/>
      </c>
      <c r="D1470" s="2" t="str">
        <f>IF(A1470="","",MIN('Loan Inputs'!$B$17,C1470+E1470)+H1470)</f>
        <v/>
      </c>
      <c r="E1470" s="2" t="str">
        <f>IF(A1470="","",C1470*'Loan Inputs'!$B$15)</f>
        <v/>
      </c>
      <c r="F1470" s="2" t="str">
        <f t="shared" si="66"/>
        <v/>
      </c>
      <c r="G1470" s="2" t="str">
        <f t="shared" si="67"/>
        <v/>
      </c>
      <c r="H1470" s="2" t="str">
        <f>IF(A1470="","",MIN('Loan Inputs'!$B$18,MAX(0,C1470+E1470-'Loan Inputs'!$B$17)))</f>
        <v/>
      </c>
    </row>
    <row r="1471" spans="1:8" ht="22" customHeight="1">
      <c r="A1471" s="1" t="str">
        <f>IF(AND('Loan Inputs'!$B$12,1465&lt;=IF('Loan Inputs'!$B$12,'Loan Inputs'!$B$7,0)*'Loan Inputs'!$B$14+5*'Loan Inputs'!$B$14,ISNUMBER(G1470),G1470&gt;0),1465,"")</f>
        <v/>
      </c>
      <c r="B1471" s="4" t="str">
        <f>IF(A1471="","",IF('Loan Inputs'!$B$14=12,DATE(YEAR('Loan Inputs'!$B$8),MONTH('Loan Inputs'!$B$8)+A1471,DAY('Loan Inputs'!$B$8)),'Loan Inputs'!$B$8+A1471*IF('Loan Inputs'!$B$14=26,14,7)))</f>
        <v/>
      </c>
      <c r="C1471" s="2" t="str">
        <f t="shared" si="68"/>
        <v/>
      </c>
      <c r="D1471" s="2" t="str">
        <f>IF(A1471="","",MIN('Loan Inputs'!$B$17,C1471+E1471)+H1471)</f>
        <v/>
      </c>
      <c r="E1471" s="2" t="str">
        <f>IF(A1471="","",C1471*'Loan Inputs'!$B$15)</f>
        <v/>
      </c>
      <c r="F1471" s="2" t="str">
        <f t="shared" si="66"/>
        <v/>
      </c>
      <c r="G1471" s="2" t="str">
        <f t="shared" si="67"/>
        <v/>
      </c>
      <c r="H1471" s="2" t="str">
        <f>IF(A1471="","",MIN('Loan Inputs'!$B$18,MAX(0,C1471+E1471-'Loan Inputs'!$B$17)))</f>
        <v/>
      </c>
    </row>
    <row r="1472" spans="1:8" ht="22" customHeight="1">
      <c r="A1472" s="1" t="str">
        <f>IF(AND('Loan Inputs'!$B$12,1466&lt;=IF('Loan Inputs'!$B$12,'Loan Inputs'!$B$7,0)*'Loan Inputs'!$B$14+5*'Loan Inputs'!$B$14,ISNUMBER(G1471),G1471&gt;0),1466,"")</f>
        <v/>
      </c>
      <c r="B1472" s="4" t="str">
        <f>IF(A1472="","",IF('Loan Inputs'!$B$14=12,DATE(YEAR('Loan Inputs'!$B$8),MONTH('Loan Inputs'!$B$8)+A1472,DAY('Loan Inputs'!$B$8)),'Loan Inputs'!$B$8+A1472*IF('Loan Inputs'!$B$14=26,14,7)))</f>
        <v/>
      </c>
      <c r="C1472" s="2" t="str">
        <f t="shared" si="68"/>
        <v/>
      </c>
      <c r="D1472" s="2" t="str">
        <f>IF(A1472="","",MIN('Loan Inputs'!$B$17,C1472+E1472)+H1472)</f>
        <v/>
      </c>
      <c r="E1472" s="2" t="str">
        <f>IF(A1472="","",C1472*'Loan Inputs'!$B$15)</f>
        <v/>
      </c>
      <c r="F1472" s="2" t="str">
        <f t="shared" si="66"/>
        <v/>
      </c>
      <c r="G1472" s="2" t="str">
        <f t="shared" si="67"/>
        <v/>
      </c>
      <c r="H1472" s="2" t="str">
        <f>IF(A1472="","",MIN('Loan Inputs'!$B$18,MAX(0,C1472+E1472-'Loan Inputs'!$B$17)))</f>
        <v/>
      </c>
    </row>
    <row r="1473" spans="1:8" ht="22" customHeight="1">
      <c r="A1473" s="1" t="str">
        <f>IF(AND('Loan Inputs'!$B$12,1467&lt;=IF('Loan Inputs'!$B$12,'Loan Inputs'!$B$7,0)*'Loan Inputs'!$B$14+5*'Loan Inputs'!$B$14,ISNUMBER(G1472),G1472&gt;0),1467,"")</f>
        <v/>
      </c>
      <c r="B1473" s="4" t="str">
        <f>IF(A1473="","",IF('Loan Inputs'!$B$14=12,DATE(YEAR('Loan Inputs'!$B$8),MONTH('Loan Inputs'!$B$8)+A1473,DAY('Loan Inputs'!$B$8)),'Loan Inputs'!$B$8+A1473*IF('Loan Inputs'!$B$14=26,14,7)))</f>
        <v/>
      </c>
      <c r="C1473" s="2" t="str">
        <f t="shared" si="68"/>
        <v/>
      </c>
      <c r="D1473" s="2" t="str">
        <f>IF(A1473="","",MIN('Loan Inputs'!$B$17,C1473+E1473)+H1473)</f>
        <v/>
      </c>
      <c r="E1473" s="2" t="str">
        <f>IF(A1473="","",C1473*'Loan Inputs'!$B$15)</f>
        <v/>
      </c>
      <c r="F1473" s="2" t="str">
        <f t="shared" si="66"/>
        <v/>
      </c>
      <c r="G1473" s="2" t="str">
        <f t="shared" si="67"/>
        <v/>
      </c>
      <c r="H1473" s="2" t="str">
        <f>IF(A1473="","",MIN('Loan Inputs'!$B$18,MAX(0,C1473+E1473-'Loan Inputs'!$B$17)))</f>
        <v/>
      </c>
    </row>
    <row r="1474" spans="1:8" ht="22" customHeight="1">
      <c r="A1474" s="1" t="str">
        <f>IF(AND('Loan Inputs'!$B$12,1468&lt;=IF('Loan Inputs'!$B$12,'Loan Inputs'!$B$7,0)*'Loan Inputs'!$B$14+5*'Loan Inputs'!$B$14,ISNUMBER(G1473),G1473&gt;0),1468,"")</f>
        <v/>
      </c>
      <c r="B1474" s="4" t="str">
        <f>IF(A1474="","",IF('Loan Inputs'!$B$14=12,DATE(YEAR('Loan Inputs'!$B$8),MONTH('Loan Inputs'!$B$8)+A1474,DAY('Loan Inputs'!$B$8)),'Loan Inputs'!$B$8+A1474*IF('Loan Inputs'!$B$14=26,14,7)))</f>
        <v/>
      </c>
      <c r="C1474" s="2" t="str">
        <f t="shared" si="68"/>
        <v/>
      </c>
      <c r="D1474" s="2" t="str">
        <f>IF(A1474="","",MIN('Loan Inputs'!$B$17,C1474+E1474)+H1474)</f>
        <v/>
      </c>
      <c r="E1474" s="2" t="str">
        <f>IF(A1474="","",C1474*'Loan Inputs'!$B$15)</f>
        <v/>
      </c>
      <c r="F1474" s="2" t="str">
        <f t="shared" si="66"/>
        <v/>
      </c>
      <c r="G1474" s="2" t="str">
        <f t="shared" si="67"/>
        <v/>
      </c>
      <c r="H1474" s="2" t="str">
        <f>IF(A1474="","",MIN('Loan Inputs'!$B$18,MAX(0,C1474+E1474-'Loan Inputs'!$B$17)))</f>
        <v/>
      </c>
    </row>
    <row r="1475" spans="1:8" ht="22" customHeight="1">
      <c r="A1475" s="1" t="str">
        <f>IF(AND('Loan Inputs'!$B$12,1469&lt;=IF('Loan Inputs'!$B$12,'Loan Inputs'!$B$7,0)*'Loan Inputs'!$B$14+5*'Loan Inputs'!$B$14,ISNUMBER(G1474),G1474&gt;0),1469,"")</f>
        <v/>
      </c>
      <c r="B1475" s="4" t="str">
        <f>IF(A1475="","",IF('Loan Inputs'!$B$14=12,DATE(YEAR('Loan Inputs'!$B$8),MONTH('Loan Inputs'!$B$8)+A1475,DAY('Loan Inputs'!$B$8)),'Loan Inputs'!$B$8+A1475*IF('Loan Inputs'!$B$14=26,14,7)))</f>
        <v/>
      </c>
      <c r="C1475" s="2" t="str">
        <f t="shared" si="68"/>
        <v/>
      </c>
      <c r="D1475" s="2" t="str">
        <f>IF(A1475="","",MIN('Loan Inputs'!$B$17,C1475+E1475)+H1475)</f>
        <v/>
      </c>
      <c r="E1475" s="2" t="str">
        <f>IF(A1475="","",C1475*'Loan Inputs'!$B$15)</f>
        <v/>
      </c>
      <c r="F1475" s="2" t="str">
        <f t="shared" si="66"/>
        <v/>
      </c>
      <c r="G1475" s="2" t="str">
        <f t="shared" si="67"/>
        <v/>
      </c>
      <c r="H1475" s="2" t="str">
        <f>IF(A1475="","",MIN('Loan Inputs'!$B$18,MAX(0,C1475+E1475-'Loan Inputs'!$B$17)))</f>
        <v/>
      </c>
    </row>
    <row r="1476" spans="1:8" ht="22" customHeight="1">
      <c r="A1476" s="1" t="str">
        <f>IF(AND('Loan Inputs'!$B$12,1470&lt;=IF('Loan Inputs'!$B$12,'Loan Inputs'!$B$7,0)*'Loan Inputs'!$B$14+5*'Loan Inputs'!$B$14,ISNUMBER(G1475),G1475&gt;0),1470,"")</f>
        <v/>
      </c>
      <c r="B1476" s="4" t="str">
        <f>IF(A1476="","",IF('Loan Inputs'!$B$14=12,DATE(YEAR('Loan Inputs'!$B$8),MONTH('Loan Inputs'!$B$8)+A1476,DAY('Loan Inputs'!$B$8)),'Loan Inputs'!$B$8+A1476*IF('Loan Inputs'!$B$14=26,14,7)))</f>
        <v/>
      </c>
      <c r="C1476" s="2" t="str">
        <f t="shared" si="68"/>
        <v/>
      </c>
      <c r="D1476" s="2" t="str">
        <f>IF(A1476="","",MIN('Loan Inputs'!$B$17,C1476+E1476)+H1476)</f>
        <v/>
      </c>
      <c r="E1476" s="2" t="str">
        <f>IF(A1476="","",C1476*'Loan Inputs'!$B$15)</f>
        <v/>
      </c>
      <c r="F1476" s="2" t="str">
        <f t="shared" si="66"/>
        <v/>
      </c>
      <c r="G1476" s="2" t="str">
        <f t="shared" si="67"/>
        <v/>
      </c>
      <c r="H1476" s="2" t="str">
        <f>IF(A1476="","",MIN('Loan Inputs'!$B$18,MAX(0,C1476+E1476-'Loan Inputs'!$B$17)))</f>
        <v/>
      </c>
    </row>
    <row r="1477" spans="1:8" ht="22" customHeight="1">
      <c r="A1477" s="1" t="str">
        <f>IF(AND('Loan Inputs'!$B$12,1471&lt;=IF('Loan Inputs'!$B$12,'Loan Inputs'!$B$7,0)*'Loan Inputs'!$B$14+5*'Loan Inputs'!$B$14,ISNUMBER(G1476),G1476&gt;0),1471,"")</f>
        <v/>
      </c>
      <c r="B1477" s="4" t="str">
        <f>IF(A1477="","",IF('Loan Inputs'!$B$14=12,DATE(YEAR('Loan Inputs'!$B$8),MONTH('Loan Inputs'!$B$8)+A1477,DAY('Loan Inputs'!$B$8)),'Loan Inputs'!$B$8+A1477*IF('Loan Inputs'!$B$14=26,14,7)))</f>
        <v/>
      </c>
      <c r="C1477" s="2" t="str">
        <f t="shared" si="68"/>
        <v/>
      </c>
      <c r="D1477" s="2" t="str">
        <f>IF(A1477="","",MIN('Loan Inputs'!$B$17,C1477+E1477)+H1477)</f>
        <v/>
      </c>
      <c r="E1477" s="2" t="str">
        <f>IF(A1477="","",C1477*'Loan Inputs'!$B$15)</f>
        <v/>
      </c>
      <c r="F1477" s="2" t="str">
        <f t="shared" si="66"/>
        <v/>
      </c>
      <c r="G1477" s="2" t="str">
        <f t="shared" si="67"/>
        <v/>
      </c>
      <c r="H1477" s="2" t="str">
        <f>IF(A1477="","",MIN('Loan Inputs'!$B$18,MAX(0,C1477+E1477-'Loan Inputs'!$B$17)))</f>
        <v/>
      </c>
    </row>
    <row r="1478" spans="1:8" ht="22" customHeight="1">
      <c r="A1478" s="1" t="str">
        <f>IF(AND('Loan Inputs'!$B$12,1472&lt;=IF('Loan Inputs'!$B$12,'Loan Inputs'!$B$7,0)*'Loan Inputs'!$B$14+5*'Loan Inputs'!$B$14,ISNUMBER(G1477),G1477&gt;0),1472,"")</f>
        <v/>
      </c>
      <c r="B1478" s="4" t="str">
        <f>IF(A1478="","",IF('Loan Inputs'!$B$14=12,DATE(YEAR('Loan Inputs'!$B$8),MONTH('Loan Inputs'!$B$8)+A1478,DAY('Loan Inputs'!$B$8)),'Loan Inputs'!$B$8+A1478*IF('Loan Inputs'!$B$14=26,14,7)))</f>
        <v/>
      </c>
      <c r="C1478" s="2" t="str">
        <f t="shared" si="68"/>
        <v/>
      </c>
      <c r="D1478" s="2" t="str">
        <f>IF(A1478="","",MIN('Loan Inputs'!$B$17,C1478+E1478)+H1478)</f>
        <v/>
      </c>
      <c r="E1478" s="2" t="str">
        <f>IF(A1478="","",C1478*'Loan Inputs'!$B$15)</f>
        <v/>
      </c>
      <c r="F1478" s="2" t="str">
        <f t="shared" si="66"/>
        <v/>
      </c>
      <c r="G1478" s="2" t="str">
        <f t="shared" si="67"/>
        <v/>
      </c>
      <c r="H1478" s="2" t="str">
        <f>IF(A1478="","",MIN('Loan Inputs'!$B$18,MAX(0,C1478+E1478-'Loan Inputs'!$B$17)))</f>
        <v/>
      </c>
    </row>
    <row r="1479" spans="1:8" ht="22" customHeight="1">
      <c r="A1479" s="1" t="str">
        <f>IF(AND('Loan Inputs'!$B$12,1473&lt;=IF('Loan Inputs'!$B$12,'Loan Inputs'!$B$7,0)*'Loan Inputs'!$B$14+5*'Loan Inputs'!$B$14,ISNUMBER(G1478),G1478&gt;0),1473,"")</f>
        <v/>
      </c>
      <c r="B1479" s="4" t="str">
        <f>IF(A1479="","",IF('Loan Inputs'!$B$14=12,DATE(YEAR('Loan Inputs'!$B$8),MONTH('Loan Inputs'!$B$8)+A1479,DAY('Loan Inputs'!$B$8)),'Loan Inputs'!$B$8+A1479*IF('Loan Inputs'!$B$14=26,14,7)))</f>
        <v/>
      </c>
      <c r="C1479" s="2" t="str">
        <f t="shared" si="68"/>
        <v/>
      </c>
      <c r="D1479" s="2" t="str">
        <f>IF(A1479="","",MIN('Loan Inputs'!$B$17,C1479+E1479)+H1479)</f>
        <v/>
      </c>
      <c r="E1479" s="2" t="str">
        <f>IF(A1479="","",C1479*'Loan Inputs'!$B$15)</f>
        <v/>
      </c>
      <c r="F1479" s="2" t="str">
        <f t="shared" ref="F1479:F1542" si="69">IF(A1479="","",MIN(C1479,D1479-E1479))</f>
        <v/>
      </c>
      <c r="G1479" s="2" t="str">
        <f t="shared" ref="G1479:G1542" si="70">IF(A1479="","",IF(C1479-F1479&lt;0.0000001,0,MAX(0,C1479-F1479)))</f>
        <v/>
      </c>
      <c r="H1479" s="2" t="str">
        <f>IF(A1479="","",MIN('Loan Inputs'!$B$18,MAX(0,C1479+E1479-'Loan Inputs'!$B$17)))</f>
        <v/>
      </c>
    </row>
    <row r="1480" spans="1:8" ht="22" customHeight="1">
      <c r="A1480" s="1" t="str">
        <f>IF(AND('Loan Inputs'!$B$12,1474&lt;=IF('Loan Inputs'!$B$12,'Loan Inputs'!$B$7,0)*'Loan Inputs'!$B$14+5*'Loan Inputs'!$B$14,ISNUMBER(G1479),G1479&gt;0),1474,"")</f>
        <v/>
      </c>
      <c r="B1480" s="4" t="str">
        <f>IF(A1480="","",IF('Loan Inputs'!$B$14=12,DATE(YEAR('Loan Inputs'!$B$8),MONTH('Loan Inputs'!$B$8)+A1480,DAY('Loan Inputs'!$B$8)),'Loan Inputs'!$B$8+A1480*IF('Loan Inputs'!$B$14=26,14,7)))</f>
        <v/>
      </c>
      <c r="C1480" s="2" t="str">
        <f t="shared" ref="C1480:C1543" si="71">IF(A1480="","",G1479)</f>
        <v/>
      </c>
      <c r="D1480" s="2" t="str">
        <f>IF(A1480="","",MIN('Loan Inputs'!$B$17,C1480+E1480)+H1480)</f>
        <v/>
      </c>
      <c r="E1480" s="2" t="str">
        <f>IF(A1480="","",C1480*'Loan Inputs'!$B$15)</f>
        <v/>
      </c>
      <c r="F1480" s="2" t="str">
        <f t="shared" si="69"/>
        <v/>
      </c>
      <c r="G1480" s="2" t="str">
        <f t="shared" si="70"/>
        <v/>
      </c>
      <c r="H1480" s="2" t="str">
        <f>IF(A1480="","",MIN('Loan Inputs'!$B$18,MAX(0,C1480+E1480-'Loan Inputs'!$B$17)))</f>
        <v/>
      </c>
    </row>
    <row r="1481" spans="1:8" ht="22" customHeight="1">
      <c r="A1481" s="1" t="str">
        <f>IF(AND('Loan Inputs'!$B$12,1475&lt;=IF('Loan Inputs'!$B$12,'Loan Inputs'!$B$7,0)*'Loan Inputs'!$B$14+5*'Loan Inputs'!$B$14,ISNUMBER(G1480),G1480&gt;0),1475,"")</f>
        <v/>
      </c>
      <c r="B1481" s="4" t="str">
        <f>IF(A1481="","",IF('Loan Inputs'!$B$14=12,DATE(YEAR('Loan Inputs'!$B$8),MONTH('Loan Inputs'!$B$8)+A1481,DAY('Loan Inputs'!$B$8)),'Loan Inputs'!$B$8+A1481*IF('Loan Inputs'!$B$14=26,14,7)))</f>
        <v/>
      </c>
      <c r="C1481" s="2" t="str">
        <f t="shared" si="71"/>
        <v/>
      </c>
      <c r="D1481" s="2" t="str">
        <f>IF(A1481="","",MIN('Loan Inputs'!$B$17,C1481+E1481)+H1481)</f>
        <v/>
      </c>
      <c r="E1481" s="2" t="str">
        <f>IF(A1481="","",C1481*'Loan Inputs'!$B$15)</f>
        <v/>
      </c>
      <c r="F1481" s="2" t="str">
        <f t="shared" si="69"/>
        <v/>
      </c>
      <c r="G1481" s="2" t="str">
        <f t="shared" si="70"/>
        <v/>
      </c>
      <c r="H1481" s="2" t="str">
        <f>IF(A1481="","",MIN('Loan Inputs'!$B$18,MAX(0,C1481+E1481-'Loan Inputs'!$B$17)))</f>
        <v/>
      </c>
    </row>
    <row r="1482" spans="1:8" ht="22" customHeight="1">
      <c r="A1482" s="1" t="str">
        <f>IF(AND('Loan Inputs'!$B$12,1476&lt;=IF('Loan Inputs'!$B$12,'Loan Inputs'!$B$7,0)*'Loan Inputs'!$B$14+5*'Loan Inputs'!$B$14,ISNUMBER(G1481),G1481&gt;0),1476,"")</f>
        <v/>
      </c>
      <c r="B1482" s="4" t="str">
        <f>IF(A1482="","",IF('Loan Inputs'!$B$14=12,DATE(YEAR('Loan Inputs'!$B$8),MONTH('Loan Inputs'!$B$8)+A1482,DAY('Loan Inputs'!$B$8)),'Loan Inputs'!$B$8+A1482*IF('Loan Inputs'!$B$14=26,14,7)))</f>
        <v/>
      </c>
      <c r="C1482" s="2" t="str">
        <f t="shared" si="71"/>
        <v/>
      </c>
      <c r="D1482" s="2" t="str">
        <f>IF(A1482="","",MIN('Loan Inputs'!$B$17,C1482+E1482)+H1482)</f>
        <v/>
      </c>
      <c r="E1482" s="2" t="str">
        <f>IF(A1482="","",C1482*'Loan Inputs'!$B$15)</f>
        <v/>
      </c>
      <c r="F1482" s="2" t="str">
        <f t="shared" si="69"/>
        <v/>
      </c>
      <c r="G1482" s="2" t="str">
        <f t="shared" si="70"/>
        <v/>
      </c>
      <c r="H1482" s="2" t="str">
        <f>IF(A1482="","",MIN('Loan Inputs'!$B$18,MAX(0,C1482+E1482-'Loan Inputs'!$B$17)))</f>
        <v/>
      </c>
    </row>
    <row r="1483" spans="1:8" ht="22" customHeight="1">
      <c r="A1483" s="1" t="str">
        <f>IF(AND('Loan Inputs'!$B$12,1477&lt;=IF('Loan Inputs'!$B$12,'Loan Inputs'!$B$7,0)*'Loan Inputs'!$B$14+5*'Loan Inputs'!$B$14,ISNUMBER(G1482),G1482&gt;0),1477,"")</f>
        <v/>
      </c>
      <c r="B1483" s="4" t="str">
        <f>IF(A1483="","",IF('Loan Inputs'!$B$14=12,DATE(YEAR('Loan Inputs'!$B$8),MONTH('Loan Inputs'!$B$8)+A1483,DAY('Loan Inputs'!$B$8)),'Loan Inputs'!$B$8+A1483*IF('Loan Inputs'!$B$14=26,14,7)))</f>
        <v/>
      </c>
      <c r="C1483" s="2" t="str">
        <f t="shared" si="71"/>
        <v/>
      </c>
      <c r="D1483" s="2" t="str">
        <f>IF(A1483="","",MIN('Loan Inputs'!$B$17,C1483+E1483)+H1483)</f>
        <v/>
      </c>
      <c r="E1483" s="2" t="str">
        <f>IF(A1483="","",C1483*'Loan Inputs'!$B$15)</f>
        <v/>
      </c>
      <c r="F1483" s="2" t="str">
        <f t="shared" si="69"/>
        <v/>
      </c>
      <c r="G1483" s="2" t="str">
        <f t="shared" si="70"/>
        <v/>
      </c>
      <c r="H1483" s="2" t="str">
        <f>IF(A1483="","",MIN('Loan Inputs'!$B$18,MAX(0,C1483+E1483-'Loan Inputs'!$B$17)))</f>
        <v/>
      </c>
    </row>
    <row r="1484" spans="1:8" ht="22" customHeight="1">
      <c r="A1484" s="1" t="str">
        <f>IF(AND('Loan Inputs'!$B$12,1478&lt;=IF('Loan Inputs'!$B$12,'Loan Inputs'!$B$7,0)*'Loan Inputs'!$B$14+5*'Loan Inputs'!$B$14,ISNUMBER(G1483),G1483&gt;0),1478,"")</f>
        <v/>
      </c>
      <c r="B1484" s="4" t="str">
        <f>IF(A1484="","",IF('Loan Inputs'!$B$14=12,DATE(YEAR('Loan Inputs'!$B$8),MONTH('Loan Inputs'!$B$8)+A1484,DAY('Loan Inputs'!$B$8)),'Loan Inputs'!$B$8+A1484*IF('Loan Inputs'!$B$14=26,14,7)))</f>
        <v/>
      </c>
      <c r="C1484" s="2" t="str">
        <f t="shared" si="71"/>
        <v/>
      </c>
      <c r="D1484" s="2" t="str">
        <f>IF(A1484="","",MIN('Loan Inputs'!$B$17,C1484+E1484)+H1484)</f>
        <v/>
      </c>
      <c r="E1484" s="2" t="str">
        <f>IF(A1484="","",C1484*'Loan Inputs'!$B$15)</f>
        <v/>
      </c>
      <c r="F1484" s="2" t="str">
        <f t="shared" si="69"/>
        <v/>
      </c>
      <c r="G1484" s="2" t="str">
        <f t="shared" si="70"/>
        <v/>
      </c>
      <c r="H1484" s="2" t="str">
        <f>IF(A1484="","",MIN('Loan Inputs'!$B$18,MAX(0,C1484+E1484-'Loan Inputs'!$B$17)))</f>
        <v/>
      </c>
    </row>
    <row r="1485" spans="1:8" ht="22" customHeight="1">
      <c r="A1485" s="1" t="str">
        <f>IF(AND('Loan Inputs'!$B$12,1479&lt;=IF('Loan Inputs'!$B$12,'Loan Inputs'!$B$7,0)*'Loan Inputs'!$B$14+5*'Loan Inputs'!$B$14,ISNUMBER(G1484),G1484&gt;0),1479,"")</f>
        <v/>
      </c>
      <c r="B1485" s="4" t="str">
        <f>IF(A1485="","",IF('Loan Inputs'!$B$14=12,DATE(YEAR('Loan Inputs'!$B$8),MONTH('Loan Inputs'!$B$8)+A1485,DAY('Loan Inputs'!$B$8)),'Loan Inputs'!$B$8+A1485*IF('Loan Inputs'!$B$14=26,14,7)))</f>
        <v/>
      </c>
      <c r="C1485" s="2" t="str">
        <f t="shared" si="71"/>
        <v/>
      </c>
      <c r="D1485" s="2" t="str">
        <f>IF(A1485="","",MIN('Loan Inputs'!$B$17,C1485+E1485)+H1485)</f>
        <v/>
      </c>
      <c r="E1485" s="2" t="str">
        <f>IF(A1485="","",C1485*'Loan Inputs'!$B$15)</f>
        <v/>
      </c>
      <c r="F1485" s="2" t="str">
        <f t="shared" si="69"/>
        <v/>
      </c>
      <c r="G1485" s="2" t="str">
        <f t="shared" si="70"/>
        <v/>
      </c>
      <c r="H1485" s="2" t="str">
        <f>IF(A1485="","",MIN('Loan Inputs'!$B$18,MAX(0,C1485+E1485-'Loan Inputs'!$B$17)))</f>
        <v/>
      </c>
    </row>
    <row r="1486" spans="1:8" ht="22" customHeight="1">
      <c r="A1486" s="1" t="str">
        <f>IF(AND('Loan Inputs'!$B$12,1480&lt;=IF('Loan Inputs'!$B$12,'Loan Inputs'!$B$7,0)*'Loan Inputs'!$B$14+5*'Loan Inputs'!$B$14,ISNUMBER(G1485),G1485&gt;0),1480,"")</f>
        <v/>
      </c>
      <c r="B1486" s="4" t="str">
        <f>IF(A1486="","",IF('Loan Inputs'!$B$14=12,DATE(YEAR('Loan Inputs'!$B$8),MONTH('Loan Inputs'!$B$8)+A1486,DAY('Loan Inputs'!$B$8)),'Loan Inputs'!$B$8+A1486*IF('Loan Inputs'!$B$14=26,14,7)))</f>
        <v/>
      </c>
      <c r="C1486" s="2" t="str">
        <f t="shared" si="71"/>
        <v/>
      </c>
      <c r="D1486" s="2" t="str">
        <f>IF(A1486="","",MIN('Loan Inputs'!$B$17,C1486+E1486)+H1486)</f>
        <v/>
      </c>
      <c r="E1486" s="2" t="str">
        <f>IF(A1486="","",C1486*'Loan Inputs'!$B$15)</f>
        <v/>
      </c>
      <c r="F1486" s="2" t="str">
        <f t="shared" si="69"/>
        <v/>
      </c>
      <c r="G1486" s="2" t="str">
        <f t="shared" si="70"/>
        <v/>
      </c>
      <c r="H1486" s="2" t="str">
        <f>IF(A1486="","",MIN('Loan Inputs'!$B$18,MAX(0,C1486+E1486-'Loan Inputs'!$B$17)))</f>
        <v/>
      </c>
    </row>
    <row r="1487" spans="1:8" ht="22" customHeight="1">
      <c r="A1487" s="1" t="str">
        <f>IF(AND('Loan Inputs'!$B$12,1481&lt;=IF('Loan Inputs'!$B$12,'Loan Inputs'!$B$7,0)*'Loan Inputs'!$B$14+5*'Loan Inputs'!$B$14,ISNUMBER(G1486),G1486&gt;0),1481,"")</f>
        <v/>
      </c>
      <c r="B1487" s="4" t="str">
        <f>IF(A1487="","",IF('Loan Inputs'!$B$14=12,DATE(YEAR('Loan Inputs'!$B$8),MONTH('Loan Inputs'!$B$8)+A1487,DAY('Loan Inputs'!$B$8)),'Loan Inputs'!$B$8+A1487*IF('Loan Inputs'!$B$14=26,14,7)))</f>
        <v/>
      </c>
      <c r="C1487" s="2" t="str">
        <f t="shared" si="71"/>
        <v/>
      </c>
      <c r="D1487" s="2" t="str">
        <f>IF(A1487="","",MIN('Loan Inputs'!$B$17,C1487+E1487)+H1487)</f>
        <v/>
      </c>
      <c r="E1487" s="2" t="str">
        <f>IF(A1487="","",C1487*'Loan Inputs'!$B$15)</f>
        <v/>
      </c>
      <c r="F1487" s="2" t="str">
        <f t="shared" si="69"/>
        <v/>
      </c>
      <c r="G1487" s="2" t="str">
        <f t="shared" si="70"/>
        <v/>
      </c>
      <c r="H1487" s="2" t="str">
        <f>IF(A1487="","",MIN('Loan Inputs'!$B$18,MAX(0,C1487+E1487-'Loan Inputs'!$B$17)))</f>
        <v/>
      </c>
    </row>
    <row r="1488" spans="1:8" ht="22" customHeight="1">
      <c r="A1488" s="1" t="str">
        <f>IF(AND('Loan Inputs'!$B$12,1482&lt;=IF('Loan Inputs'!$B$12,'Loan Inputs'!$B$7,0)*'Loan Inputs'!$B$14+5*'Loan Inputs'!$B$14,ISNUMBER(G1487),G1487&gt;0),1482,"")</f>
        <v/>
      </c>
      <c r="B1488" s="4" t="str">
        <f>IF(A1488="","",IF('Loan Inputs'!$B$14=12,DATE(YEAR('Loan Inputs'!$B$8),MONTH('Loan Inputs'!$B$8)+A1488,DAY('Loan Inputs'!$B$8)),'Loan Inputs'!$B$8+A1488*IF('Loan Inputs'!$B$14=26,14,7)))</f>
        <v/>
      </c>
      <c r="C1488" s="2" t="str">
        <f t="shared" si="71"/>
        <v/>
      </c>
      <c r="D1488" s="2" t="str">
        <f>IF(A1488="","",MIN('Loan Inputs'!$B$17,C1488+E1488)+H1488)</f>
        <v/>
      </c>
      <c r="E1488" s="2" t="str">
        <f>IF(A1488="","",C1488*'Loan Inputs'!$B$15)</f>
        <v/>
      </c>
      <c r="F1488" s="2" t="str">
        <f t="shared" si="69"/>
        <v/>
      </c>
      <c r="G1488" s="2" t="str">
        <f t="shared" si="70"/>
        <v/>
      </c>
      <c r="H1488" s="2" t="str">
        <f>IF(A1488="","",MIN('Loan Inputs'!$B$18,MAX(0,C1488+E1488-'Loan Inputs'!$B$17)))</f>
        <v/>
      </c>
    </row>
    <row r="1489" spans="1:8" ht="22" customHeight="1">
      <c r="A1489" s="1" t="str">
        <f>IF(AND('Loan Inputs'!$B$12,1483&lt;=IF('Loan Inputs'!$B$12,'Loan Inputs'!$B$7,0)*'Loan Inputs'!$B$14+5*'Loan Inputs'!$B$14,ISNUMBER(G1488),G1488&gt;0),1483,"")</f>
        <v/>
      </c>
      <c r="B1489" s="4" t="str">
        <f>IF(A1489="","",IF('Loan Inputs'!$B$14=12,DATE(YEAR('Loan Inputs'!$B$8),MONTH('Loan Inputs'!$B$8)+A1489,DAY('Loan Inputs'!$B$8)),'Loan Inputs'!$B$8+A1489*IF('Loan Inputs'!$B$14=26,14,7)))</f>
        <v/>
      </c>
      <c r="C1489" s="2" t="str">
        <f t="shared" si="71"/>
        <v/>
      </c>
      <c r="D1489" s="2" t="str">
        <f>IF(A1489="","",MIN('Loan Inputs'!$B$17,C1489+E1489)+H1489)</f>
        <v/>
      </c>
      <c r="E1489" s="2" t="str">
        <f>IF(A1489="","",C1489*'Loan Inputs'!$B$15)</f>
        <v/>
      </c>
      <c r="F1489" s="2" t="str">
        <f t="shared" si="69"/>
        <v/>
      </c>
      <c r="G1489" s="2" t="str">
        <f t="shared" si="70"/>
        <v/>
      </c>
      <c r="H1489" s="2" t="str">
        <f>IF(A1489="","",MIN('Loan Inputs'!$B$18,MAX(0,C1489+E1489-'Loan Inputs'!$B$17)))</f>
        <v/>
      </c>
    </row>
    <row r="1490" spans="1:8" ht="22" customHeight="1">
      <c r="A1490" s="1" t="str">
        <f>IF(AND('Loan Inputs'!$B$12,1484&lt;=IF('Loan Inputs'!$B$12,'Loan Inputs'!$B$7,0)*'Loan Inputs'!$B$14+5*'Loan Inputs'!$B$14,ISNUMBER(G1489),G1489&gt;0),1484,"")</f>
        <v/>
      </c>
      <c r="B1490" s="4" t="str">
        <f>IF(A1490="","",IF('Loan Inputs'!$B$14=12,DATE(YEAR('Loan Inputs'!$B$8),MONTH('Loan Inputs'!$B$8)+A1490,DAY('Loan Inputs'!$B$8)),'Loan Inputs'!$B$8+A1490*IF('Loan Inputs'!$B$14=26,14,7)))</f>
        <v/>
      </c>
      <c r="C1490" s="2" t="str">
        <f t="shared" si="71"/>
        <v/>
      </c>
      <c r="D1490" s="2" t="str">
        <f>IF(A1490="","",MIN('Loan Inputs'!$B$17,C1490+E1490)+H1490)</f>
        <v/>
      </c>
      <c r="E1490" s="2" t="str">
        <f>IF(A1490="","",C1490*'Loan Inputs'!$B$15)</f>
        <v/>
      </c>
      <c r="F1490" s="2" t="str">
        <f t="shared" si="69"/>
        <v/>
      </c>
      <c r="G1490" s="2" t="str">
        <f t="shared" si="70"/>
        <v/>
      </c>
      <c r="H1490" s="2" t="str">
        <f>IF(A1490="","",MIN('Loan Inputs'!$B$18,MAX(0,C1490+E1490-'Loan Inputs'!$B$17)))</f>
        <v/>
      </c>
    </row>
    <row r="1491" spans="1:8" ht="22" customHeight="1">
      <c r="A1491" s="1" t="str">
        <f>IF(AND('Loan Inputs'!$B$12,1485&lt;=IF('Loan Inputs'!$B$12,'Loan Inputs'!$B$7,0)*'Loan Inputs'!$B$14+5*'Loan Inputs'!$B$14,ISNUMBER(G1490),G1490&gt;0),1485,"")</f>
        <v/>
      </c>
      <c r="B1491" s="4" t="str">
        <f>IF(A1491="","",IF('Loan Inputs'!$B$14=12,DATE(YEAR('Loan Inputs'!$B$8),MONTH('Loan Inputs'!$B$8)+A1491,DAY('Loan Inputs'!$B$8)),'Loan Inputs'!$B$8+A1491*IF('Loan Inputs'!$B$14=26,14,7)))</f>
        <v/>
      </c>
      <c r="C1491" s="2" t="str">
        <f t="shared" si="71"/>
        <v/>
      </c>
      <c r="D1491" s="2" t="str">
        <f>IF(A1491="","",MIN('Loan Inputs'!$B$17,C1491+E1491)+H1491)</f>
        <v/>
      </c>
      <c r="E1491" s="2" t="str">
        <f>IF(A1491="","",C1491*'Loan Inputs'!$B$15)</f>
        <v/>
      </c>
      <c r="F1491" s="2" t="str">
        <f t="shared" si="69"/>
        <v/>
      </c>
      <c r="G1491" s="2" t="str">
        <f t="shared" si="70"/>
        <v/>
      </c>
      <c r="H1491" s="2" t="str">
        <f>IF(A1491="","",MIN('Loan Inputs'!$B$18,MAX(0,C1491+E1491-'Loan Inputs'!$B$17)))</f>
        <v/>
      </c>
    </row>
    <row r="1492" spans="1:8" ht="22" customHeight="1">
      <c r="A1492" s="1" t="str">
        <f>IF(AND('Loan Inputs'!$B$12,1486&lt;=IF('Loan Inputs'!$B$12,'Loan Inputs'!$B$7,0)*'Loan Inputs'!$B$14+5*'Loan Inputs'!$B$14,ISNUMBER(G1491),G1491&gt;0),1486,"")</f>
        <v/>
      </c>
      <c r="B1492" s="4" t="str">
        <f>IF(A1492="","",IF('Loan Inputs'!$B$14=12,DATE(YEAR('Loan Inputs'!$B$8),MONTH('Loan Inputs'!$B$8)+A1492,DAY('Loan Inputs'!$B$8)),'Loan Inputs'!$B$8+A1492*IF('Loan Inputs'!$B$14=26,14,7)))</f>
        <v/>
      </c>
      <c r="C1492" s="2" t="str">
        <f t="shared" si="71"/>
        <v/>
      </c>
      <c r="D1492" s="2" t="str">
        <f>IF(A1492="","",MIN('Loan Inputs'!$B$17,C1492+E1492)+H1492)</f>
        <v/>
      </c>
      <c r="E1492" s="2" t="str">
        <f>IF(A1492="","",C1492*'Loan Inputs'!$B$15)</f>
        <v/>
      </c>
      <c r="F1492" s="2" t="str">
        <f t="shared" si="69"/>
        <v/>
      </c>
      <c r="G1492" s="2" t="str">
        <f t="shared" si="70"/>
        <v/>
      </c>
      <c r="H1492" s="2" t="str">
        <f>IF(A1492="","",MIN('Loan Inputs'!$B$18,MAX(0,C1492+E1492-'Loan Inputs'!$B$17)))</f>
        <v/>
      </c>
    </row>
    <row r="1493" spans="1:8" ht="22" customHeight="1">
      <c r="A1493" s="1" t="str">
        <f>IF(AND('Loan Inputs'!$B$12,1487&lt;=IF('Loan Inputs'!$B$12,'Loan Inputs'!$B$7,0)*'Loan Inputs'!$B$14+5*'Loan Inputs'!$B$14,ISNUMBER(G1492),G1492&gt;0),1487,"")</f>
        <v/>
      </c>
      <c r="B1493" s="4" t="str">
        <f>IF(A1493="","",IF('Loan Inputs'!$B$14=12,DATE(YEAR('Loan Inputs'!$B$8),MONTH('Loan Inputs'!$B$8)+A1493,DAY('Loan Inputs'!$B$8)),'Loan Inputs'!$B$8+A1493*IF('Loan Inputs'!$B$14=26,14,7)))</f>
        <v/>
      </c>
      <c r="C1493" s="2" t="str">
        <f t="shared" si="71"/>
        <v/>
      </c>
      <c r="D1493" s="2" t="str">
        <f>IF(A1493="","",MIN('Loan Inputs'!$B$17,C1493+E1493)+H1493)</f>
        <v/>
      </c>
      <c r="E1493" s="2" t="str">
        <f>IF(A1493="","",C1493*'Loan Inputs'!$B$15)</f>
        <v/>
      </c>
      <c r="F1493" s="2" t="str">
        <f t="shared" si="69"/>
        <v/>
      </c>
      <c r="G1493" s="2" t="str">
        <f t="shared" si="70"/>
        <v/>
      </c>
      <c r="H1493" s="2" t="str">
        <f>IF(A1493="","",MIN('Loan Inputs'!$B$18,MAX(0,C1493+E1493-'Loan Inputs'!$B$17)))</f>
        <v/>
      </c>
    </row>
    <row r="1494" spans="1:8" ht="22" customHeight="1">
      <c r="A1494" s="1" t="str">
        <f>IF(AND('Loan Inputs'!$B$12,1488&lt;=IF('Loan Inputs'!$B$12,'Loan Inputs'!$B$7,0)*'Loan Inputs'!$B$14+5*'Loan Inputs'!$B$14,ISNUMBER(G1493),G1493&gt;0),1488,"")</f>
        <v/>
      </c>
      <c r="B1494" s="4" t="str">
        <f>IF(A1494="","",IF('Loan Inputs'!$B$14=12,DATE(YEAR('Loan Inputs'!$B$8),MONTH('Loan Inputs'!$B$8)+A1494,DAY('Loan Inputs'!$B$8)),'Loan Inputs'!$B$8+A1494*IF('Loan Inputs'!$B$14=26,14,7)))</f>
        <v/>
      </c>
      <c r="C1494" s="2" t="str">
        <f t="shared" si="71"/>
        <v/>
      </c>
      <c r="D1494" s="2" t="str">
        <f>IF(A1494="","",MIN('Loan Inputs'!$B$17,C1494+E1494)+H1494)</f>
        <v/>
      </c>
      <c r="E1494" s="2" t="str">
        <f>IF(A1494="","",C1494*'Loan Inputs'!$B$15)</f>
        <v/>
      </c>
      <c r="F1494" s="2" t="str">
        <f t="shared" si="69"/>
        <v/>
      </c>
      <c r="G1494" s="2" t="str">
        <f t="shared" si="70"/>
        <v/>
      </c>
      <c r="H1494" s="2" t="str">
        <f>IF(A1494="","",MIN('Loan Inputs'!$B$18,MAX(0,C1494+E1494-'Loan Inputs'!$B$17)))</f>
        <v/>
      </c>
    </row>
    <row r="1495" spans="1:8" ht="22" customHeight="1">
      <c r="A1495" s="1" t="str">
        <f>IF(AND('Loan Inputs'!$B$12,1489&lt;=IF('Loan Inputs'!$B$12,'Loan Inputs'!$B$7,0)*'Loan Inputs'!$B$14+5*'Loan Inputs'!$B$14,ISNUMBER(G1494),G1494&gt;0),1489,"")</f>
        <v/>
      </c>
      <c r="B1495" s="4" t="str">
        <f>IF(A1495="","",IF('Loan Inputs'!$B$14=12,DATE(YEAR('Loan Inputs'!$B$8),MONTH('Loan Inputs'!$B$8)+A1495,DAY('Loan Inputs'!$B$8)),'Loan Inputs'!$B$8+A1495*IF('Loan Inputs'!$B$14=26,14,7)))</f>
        <v/>
      </c>
      <c r="C1495" s="2" t="str">
        <f t="shared" si="71"/>
        <v/>
      </c>
      <c r="D1495" s="2" t="str">
        <f>IF(A1495="","",MIN('Loan Inputs'!$B$17,C1495+E1495)+H1495)</f>
        <v/>
      </c>
      <c r="E1495" s="2" t="str">
        <f>IF(A1495="","",C1495*'Loan Inputs'!$B$15)</f>
        <v/>
      </c>
      <c r="F1495" s="2" t="str">
        <f t="shared" si="69"/>
        <v/>
      </c>
      <c r="G1495" s="2" t="str">
        <f t="shared" si="70"/>
        <v/>
      </c>
      <c r="H1495" s="2" t="str">
        <f>IF(A1495="","",MIN('Loan Inputs'!$B$18,MAX(0,C1495+E1495-'Loan Inputs'!$B$17)))</f>
        <v/>
      </c>
    </row>
    <row r="1496" spans="1:8" ht="22" customHeight="1">
      <c r="A1496" s="1" t="str">
        <f>IF(AND('Loan Inputs'!$B$12,1490&lt;=IF('Loan Inputs'!$B$12,'Loan Inputs'!$B$7,0)*'Loan Inputs'!$B$14+5*'Loan Inputs'!$B$14,ISNUMBER(G1495),G1495&gt;0),1490,"")</f>
        <v/>
      </c>
      <c r="B1496" s="4" t="str">
        <f>IF(A1496="","",IF('Loan Inputs'!$B$14=12,DATE(YEAR('Loan Inputs'!$B$8),MONTH('Loan Inputs'!$B$8)+A1496,DAY('Loan Inputs'!$B$8)),'Loan Inputs'!$B$8+A1496*IF('Loan Inputs'!$B$14=26,14,7)))</f>
        <v/>
      </c>
      <c r="C1496" s="2" t="str">
        <f t="shared" si="71"/>
        <v/>
      </c>
      <c r="D1496" s="2" t="str">
        <f>IF(A1496="","",MIN('Loan Inputs'!$B$17,C1496+E1496)+H1496)</f>
        <v/>
      </c>
      <c r="E1496" s="2" t="str">
        <f>IF(A1496="","",C1496*'Loan Inputs'!$B$15)</f>
        <v/>
      </c>
      <c r="F1496" s="2" t="str">
        <f t="shared" si="69"/>
        <v/>
      </c>
      <c r="G1496" s="2" t="str">
        <f t="shared" si="70"/>
        <v/>
      </c>
      <c r="H1496" s="2" t="str">
        <f>IF(A1496="","",MIN('Loan Inputs'!$B$18,MAX(0,C1496+E1496-'Loan Inputs'!$B$17)))</f>
        <v/>
      </c>
    </row>
    <row r="1497" spans="1:8" ht="22" customHeight="1">
      <c r="A1497" s="1" t="str">
        <f>IF(AND('Loan Inputs'!$B$12,1491&lt;=IF('Loan Inputs'!$B$12,'Loan Inputs'!$B$7,0)*'Loan Inputs'!$B$14+5*'Loan Inputs'!$B$14,ISNUMBER(G1496),G1496&gt;0),1491,"")</f>
        <v/>
      </c>
      <c r="B1497" s="4" t="str">
        <f>IF(A1497="","",IF('Loan Inputs'!$B$14=12,DATE(YEAR('Loan Inputs'!$B$8),MONTH('Loan Inputs'!$B$8)+A1497,DAY('Loan Inputs'!$B$8)),'Loan Inputs'!$B$8+A1497*IF('Loan Inputs'!$B$14=26,14,7)))</f>
        <v/>
      </c>
      <c r="C1497" s="2" t="str">
        <f t="shared" si="71"/>
        <v/>
      </c>
      <c r="D1497" s="2" t="str">
        <f>IF(A1497="","",MIN('Loan Inputs'!$B$17,C1497+E1497)+H1497)</f>
        <v/>
      </c>
      <c r="E1497" s="2" t="str">
        <f>IF(A1497="","",C1497*'Loan Inputs'!$B$15)</f>
        <v/>
      </c>
      <c r="F1497" s="2" t="str">
        <f t="shared" si="69"/>
        <v/>
      </c>
      <c r="G1497" s="2" t="str">
        <f t="shared" si="70"/>
        <v/>
      </c>
      <c r="H1497" s="2" t="str">
        <f>IF(A1497="","",MIN('Loan Inputs'!$B$18,MAX(0,C1497+E1497-'Loan Inputs'!$B$17)))</f>
        <v/>
      </c>
    </row>
    <row r="1498" spans="1:8" ht="22" customHeight="1">
      <c r="A1498" s="1" t="str">
        <f>IF(AND('Loan Inputs'!$B$12,1492&lt;=IF('Loan Inputs'!$B$12,'Loan Inputs'!$B$7,0)*'Loan Inputs'!$B$14+5*'Loan Inputs'!$B$14,ISNUMBER(G1497),G1497&gt;0),1492,"")</f>
        <v/>
      </c>
      <c r="B1498" s="4" t="str">
        <f>IF(A1498="","",IF('Loan Inputs'!$B$14=12,DATE(YEAR('Loan Inputs'!$B$8),MONTH('Loan Inputs'!$B$8)+A1498,DAY('Loan Inputs'!$B$8)),'Loan Inputs'!$B$8+A1498*IF('Loan Inputs'!$B$14=26,14,7)))</f>
        <v/>
      </c>
      <c r="C1498" s="2" t="str">
        <f t="shared" si="71"/>
        <v/>
      </c>
      <c r="D1498" s="2" t="str">
        <f>IF(A1498="","",MIN('Loan Inputs'!$B$17,C1498+E1498)+H1498)</f>
        <v/>
      </c>
      <c r="E1498" s="2" t="str">
        <f>IF(A1498="","",C1498*'Loan Inputs'!$B$15)</f>
        <v/>
      </c>
      <c r="F1498" s="2" t="str">
        <f t="shared" si="69"/>
        <v/>
      </c>
      <c r="G1498" s="2" t="str">
        <f t="shared" si="70"/>
        <v/>
      </c>
      <c r="H1498" s="2" t="str">
        <f>IF(A1498="","",MIN('Loan Inputs'!$B$18,MAX(0,C1498+E1498-'Loan Inputs'!$B$17)))</f>
        <v/>
      </c>
    </row>
    <row r="1499" spans="1:8" ht="22" customHeight="1">
      <c r="A1499" s="1" t="str">
        <f>IF(AND('Loan Inputs'!$B$12,1493&lt;=IF('Loan Inputs'!$B$12,'Loan Inputs'!$B$7,0)*'Loan Inputs'!$B$14+5*'Loan Inputs'!$B$14,ISNUMBER(G1498),G1498&gt;0),1493,"")</f>
        <v/>
      </c>
      <c r="B1499" s="4" t="str">
        <f>IF(A1499="","",IF('Loan Inputs'!$B$14=12,DATE(YEAR('Loan Inputs'!$B$8),MONTH('Loan Inputs'!$B$8)+A1499,DAY('Loan Inputs'!$B$8)),'Loan Inputs'!$B$8+A1499*IF('Loan Inputs'!$B$14=26,14,7)))</f>
        <v/>
      </c>
      <c r="C1499" s="2" t="str">
        <f t="shared" si="71"/>
        <v/>
      </c>
      <c r="D1499" s="2" t="str">
        <f>IF(A1499="","",MIN('Loan Inputs'!$B$17,C1499+E1499)+H1499)</f>
        <v/>
      </c>
      <c r="E1499" s="2" t="str">
        <f>IF(A1499="","",C1499*'Loan Inputs'!$B$15)</f>
        <v/>
      </c>
      <c r="F1499" s="2" t="str">
        <f t="shared" si="69"/>
        <v/>
      </c>
      <c r="G1499" s="2" t="str">
        <f t="shared" si="70"/>
        <v/>
      </c>
      <c r="H1499" s="2" t="str">
        <f>IF(A1499="","",MIN('Loan Inputs'!$B$18,MAX(0,C1499+E1499-'Loan Inputs'!$B$17)))</f>
        <v/>
      </c>
    </row>
    <row r="1500" spans="1:8" ht="22" customHeight="1">
      <c r="A1500" s="1" t="str">
        <f>IF(AND('Loan Inputs'!$B$12,1494&lt;=IF('Loan Inputs'!$B$12,'Loan Inputs'!$B$7,0)*'Loan Inputs'!$B$14+5*'Loan Inputs'!$B$14,ISNUMBER(G1499),G1499&gt;0),1494,"")</f>
        <v/>
      </c>
      <c r="B1500" s="4" t="str">
        <f>IF(A1500="","",IF('Loan Inputs'!$B$14=12,DATE(YEAR('Loan Inputs'!$B$8),MONTH('Loan Inputs'!$B$8)+A1500,DAY('Loan Inputs'!$B$8)),'Loan Inputs'!$B$8+A1500*IF('Loan Inputs'!$B$14=26,14,7)))</f>
        <v/>
      </c>
      <c r="C1500" s="2" t="str">
        <f t="shared" si="71"/>
        <v/>
      </c>
      <c r="D1500" s="2" t="str">
        <f>IF(A1500="","",MIN('Loan Inputs'!$B$17,C1500+E1500)+H1500)</f>
        <v/>
      </c>
      <c r="E1500" s="2" t="str">
        <f>IF(A1500="","",C1500*'Loan Inputs'!$B$15)</f>
        <v/>
      </c>
      <c r="F1500" s="2" t="str">
        <f t="shared" si="69"/>
        <v/>
      </c>
      <c r="G1500" s="2" t="str">
        <f t="shared" si="70"/>
        <v/>
      </c>
      <c r="H1500" s="2" t="str">
        <f>IF(A1500="","",MIN('Loan Inputs'!$B$18,MAX(0,C1500+E1500-'Loan Inputs'!$B$17)))</f>
        <v/>
      </c>
    </row>
    <row r="1501" spans="1:8" ht="22" customHeight="1">
      <c r="A1501" s="1" t="str">
        <f>IF(AND('Loan Inputs'!$B$12,1495&lt;=IF('Loan Inputs'!$B$12,'Loan Inputs'!$B$7,0)*'Loan Inputs'!$B$14+5*'Loan Inputs'!$B$14,ISNUMBER(G1500),G1500&gt;0),1495,"")</f>
        <v/>
      </c>
      <c r="B1501" s="4" t="str">
        <f>IF(A1501="","",IF('Loan Inputs'!$B$14=12,DATE(YEAR('Loan Inputs'!$B$8),MONTH('Loan Inputs'!$B$8)+A1501,DAY('Loan Inputs'!$B$8)),'Loan Inputs'!$B$8+A1501*IF('Loan Inputs'!$B$14=26,14,7)))</f>
        <v/>
      </c>
      <c r="C1501" s="2" t="str">
        <f t="shared" si="71"/>
        <v/>
      </c>
      <c r="D1501" s="2" t="str">
        <f>IF(A1501="","",MIN('Loan Inputs'!$B$17,C1501+E1501)+H1501)</f>
        <v/>
      </c>
      <c r="E1501" s="2" t="str">
        <f>IF(A1501="","",C1501*'Loan Inputs'!$B$15)</f>
        <v/>
      </c>
      <c r="F1501" s="2" t="str">
        <f t="shared" si="69"/>
        <v/>
      </c>
      <c r="G1501" s="2" t="str">
        <f t="shared" si="70"/>
        <v/>
      </c>
      <c r="H1501" s="2" t="str">
        <f>IF(A1501="","",MIN('Loan Inputs'!$B$18,MAX(0,C1501+E1501-'Loan Inputs'!$B$17)))</f>
        <v/>
      </c>
    </row>
    <row r="1502" spans="1:8" ht="22" customHeight="1">
      <c r="A1502" s="1" t="str">
        <f>IF(AND('Loan Inputs'!$B$12,1496&lt;=IF('Loan Inputs'!$B$12,'Loan Inputs'!$B$7,0)*'Loan Inputs'!$B$14+5*'Loan Inputs'!$B$14,ISNUMBER(G1501),G1501&gt;0),1496,"")</f>
        <v/>
      </c>
      <c r="B1502" s="4" t="str">
        <f>IF(A1502="","",IF('Loan Inputs'!$B$14=12,DATE(YEAR('Loan Inputs'!$B$8),MONTH('Loan Inputs'!$B$8)+A1502,DAY('Loan Inputs'!$B$8)),'Loan Inputs'!$B$8+A1502*IF('Loan Inputs'!$B$14=26,14,7)))</f>
        <v/>
      </c>
      <c r="C1502" s="2" t="str">
        <f t="shared" si="71"/>
        <v/>
      </c>
      <c r="D1502" s="2" t="str">
        <f>IF(A1502="","",MIN('Loan Inputs'!$B$17,C1502+E1502)+H1502)</f>
        <v/>
      </c>
      <c r="E1502" s="2" t="str">
        <f>IF(A1502="","",C1502*'Loan Inputs'!$B$15)</f>
        <v/>
      </c>
      <c r="F1502" s="2" t="str">
        <f t="shared" si="69"/>
        <v/>
      </c>
      <c r="G1502" s="2" t="str">
        <f t="shared" si="70"/>
        <v/>
      </c>
      <c r="H1502" s="2" t="str">
        <f>IF(A1502="","",MIN('Loan Inputs'!$B$18,MAX(0,C1502+E1502-'Loan Inputs'!$B$17)))</f>
        <v/>
      </c>
    </row>
    <row r="1503" spans="1:8" ht="22" customHeight="1">
      <c r="A1503" s="1" t="str">
        <f>IF(AND('Loan Inputs'!$B$12,1497&lt;=IF('Loan Inputs'!$B$12,'Loan Inputs'!$B$7,0)*'Loan Inputs'!$B$14+5*'Loan Inputs'!$B$14,ISNUMBER(G1502),G1502&gt;0),1497,"")</f>
        <v/>
      </c>
      <c r="B1503" s="4" t="str">
        <f>IF(A1503="","",IF('Loan Inputs'!$B$14=12,DATE(YEAR('Loan Inputs'!$B$8),MONTH('Loan Inputs'!$B$8)+A1503,DAY('Loan Inputs'!$B$8)),'Loan Inputs'!$B$8+A1503*IF('Loan Inputs'!$B$14=26,14,7)))</f>
        <v/>
      </c>
      <c r="C1503" s="2" t="str">
        <f t="shared" si="71"/>
        <v/>
      </c>
      <c r="D1503" s="2" t="str">
        <f>IF(A1503="","",MIN('Loan Inputs'!$B$17,C1503+E1503)+H1503)</f>
        <v/>
      </c>
      <c r="E1503" s="2" t="str">
        <f>IF(A1503="","",C1503*'Loan Inputs'!$B$15)</f>
        <v/>
      </c>
      <c r="F1503" s="2" t="str">
        <f t="shared" si="69"/>
        <v/>
      </c>
      <c r="G1503" s="2" t="str">
        <f t="shared" si="70"/>
        <v/>
      </c>
      <c r="H1503" s="2" t="str">
        <f>IF(A1503="","",MIN('Loan Inputs'!$B$18,MAX(0,C1503+E1503-'Loan Inputs'!$B$17)))</f>
        <v/>
      </c>
    </row>
    <row r="1504" spans="1:8" ht="22" customHeight="1">
      <c r="A1504" s="1" t="str">
        <f>IF(AND('Loan Inputs'!$B$12,1498&lt;=IF('Loan Inputs'!$B$12,'Loan Inputs'!$B$7,0)*'Loan Inputs'!$B$14+5*'Loan Inputs'!$B$14,ISNUMBER(G1503),G1503&gt;0),1498,"")</f>
        <v/>
      </c>
      <c r="B1504" s="4" t="str">
        <f>IF(A1504="","",IF('Loan Inputs'!$B$14=12,DATE(YEAR('Loan Inputs'!$B$8),MONTH('Loan Inputs'!$B$8)+A1504,DAY('Loan Inputs'!$B$8)),'Loan Inputs'!$B$8+A1504*IF('Loan Inputs'!$B$14=26,14,7)))</f>
        <v/>
      </c>
      <c r="C1504" s="2" t="str">
        <f t="shared" si="71"/>
        <v/>
      </c>
      <c r="D1504" s="2" t="str">
        <f>IF(A1504="","",MIN('Loan Inputs'!$B$17,C1504+E1504)+H1504)</f>
        <v/>
      </c>
      <c r="E1504" s="2" t="str">
        <f>IF(A1504="","",C1504*'Loan Inputs'!$B$15)</f>
        <v/>
      </c>
      <c r="F1504" s="2" t="str">
        <f t="shared" si="69"/>
        <v/>
      </c>
      <c r="G1504" s="2" t="str">
        <f t="shared" si="70"/>
        <v/>
      </c>
      <c r="H1504" s="2" t="str">
        <f>IF(A1504="","",MIN('Loan Inputs'!$B$18,MAX(0,C1504+E1504-'Loan Inputs'!$B$17)))</f>
        <v/>
      </c>
    </row>
    <row r="1505" spans="1:8" ht="22" customHeight="1">
      <c r="A1505" s="1" t="str">
        <f>IF(AND('Loan Inputs'!$B$12,1499&lt;=IF('Loan Inputs'!$B$12,'Loan Inputs'!$B$7,0)*'Loan Inputs'!$B$14+5*'Loan Inputs'!$B$14,ISNUMBER(G1504),G1504&gt;0),1499,"")</f>
        <v/>
      </c>
      <c r="B1505" s="4" t="str">
        <f>IF(A1505="","",IF('Loan Inputs'!$B$14=12,DATE(YEAR('Loan Inputs'!$B$8),MONTH('Loan Inputs'!$B$8)+A1505,DAY('Loan Inputs'!$B$8)),'Loan Inputs'!$B$8+A1505*IF('Loan Inputs'!$B$14=26,14,7)))</f>
        <v/>
      </c>
      <c r="C1505" s="2" t="str">
        <f t="shared" si="71"/>
        <v/>
      </c>
      <c r="D1505" s="2" t="str">
        <f>IF(A1505="","",MIN('Loan Inputs'!$B$17,C1505+E1505)+H1505)</f>
        <v/>
      </c>
      <c r="E1505" s="2" t="str">
        <f>IF(A1505="","",C1505*'Loan Inputs'!$B$15)</f>
        <v/>
      </c>
      <c r="F1505" s="2" t="str">
        <f t="shared" si="69"/>
        <v/>
      </c>
      <c r="G1505" s="2" t="str">
        <f t="shared" si="70"/>
        <v/>
      </c>
      <c r="H1505" s="2" t="str">
        <f>IF(A1505="","",MIN('Loan Inputs'!$B$18,MAX(0,C1505+E1505-'Loan Inputs'!$B$17)))</f>
        <v/>
      </c>
    </row>
    <row r="1506" spans="1:8" ht="22" customHeight="1">
      <c r="A1506" s="1" t="str">
        <f>IF(AND('Loan Inputs'!$B$12,1500&lt;=IF('Loan Inputs'!$B$12,'Loan Inputs'!$B$7,0)*'Loan Inputs'!$B$14+5*'Loan Inputs'!$B$14,ISNUMBER(G1505),G1505&gt;0),1500,"")</f>
        <v/>
      </c>
      <c r="B1506" s="4" t="str">
        <f>IF(A1506="","",IF('Loan Inputs'!$B$14=12,DATE(YEAR('Loan Inputs'!$B$8),MONTH('Loan Inputs'!$B$8)+A1506,DAY('Loan Inputs'!$B$8)),'Loan Inputs'!$B$8+A1506*IF('Loan Inputs'!$B$14=26,14,7)))</f>
        <v/>
      </c>
      <c r="C1506" s="2" t="str">
        <f t="shared" si="71"/>
        <v/>
      </c>
      <c r="D1506" s="2" t="str">
        <f>IF(A1506="","",MIN('Loan Inputs'!$B$17,C1506+E1506)+H1506)</f>
        <v/>
      </c>
      <c r="E1506" s="2" t="str">
        <f>IF(A1506="","",C1506*'Loan Inputs'!$B$15)</f>
        <v/>
      </c>
      <c r="F1506" s="2" t="str">
        <f t="shared" si="69"/>
        <v/>
      </c>
      <c r="G1506" s="2" t="str">
        <f t="shared" si="70"/>
        <v/>
      </c>
      <c r="H1506" s="2" t="str">
        <f>IF(A1506="","",MIN('Loan Inputs'!$B$18,MAX(0,C1506+E1506-'Loan Inputs'!$B$17)))</f>
        <v/>
      </c>
    </row>
    <row r="1507" spans="1:8" ht="22" customHeight="1">
      <c r="A1507" s="1" t="str">
        <f>IF(AND('Loan Inputs'!$B$12,1501&lt;=IF('Loan Inputs'!$B$12,'Loan Inputs'!$B$7,0)*'Loan Inputs'!$B$14+5*'Loan Inputs'!$B$14,ISNUMBER(G1506),G1506&gt;0),1501,"")</f>
        <v/>
      </c>
      <c r="B1507" s="4" t="str">
        <f>IF(A1507="","",IF('Loan Inputs'!$B$14=12,DATE(YEAR('Loan Inputs'!$B$8),MONTH('Loan Inputs'!$B$8)+A1507,DAY('Loan Inputs'!$B$8)),'Loan Inputs'!$B$8+A1507*IF('Loan Inputs'!$B$14=26,14,7)))</f>
        <v/>
      </c>
      <c r="C1507" s="2" t="str">
        <f t="shared" si="71"/>
        <v/>
      </c>
      <c r="D1507" s="2" t="str">
        <f>IF(A1507="","",MIN('Loan Inputs'!$B$17,C1507+E1507)+H1507)</f>
        <v/>
      </c>
      <c r="E1507" s="2" t="str">
        <f>IF(A1507="","",C1507*'Loan Inputs'!$B$15)</f>
        <v/>
      </c>
      <c r="F1507" s="2" t="str">
        <f t="shared" si="69"/>
        <v/>
      </c>
      <c r="G1507" s="2" t="str">
        <f t="shared" si="70"/>
        <v/>
      </c>
      <c r="H1507" s="2" t="str">
        <f>IF(A1507="","",MIN('Loan Inputs'!$B$18,MAX(0,C1507+E1507-'Loan Inputs'!$B$17)))</f>
        <v/>
      </c>
    </row>
    <row r="1508" spans="1:8" ht="22" customHeight="1">
      <c r="A1508" s="1" t="str">
        <f>IF(AND('Loan Inputs'!$B$12,1502&lt;=IF('Loan Inputs'!$B$12,'Loan Inputs'!$B$7,0)*'Loan Inputs'!$B$14+5*'Loan Inputs'!$B$14,ISNUMBER(G1507),G1507&gt;0),1502,"")</f>
        <v/>
      </c>
      <c r="B1508" s="4" t="str">
        <f>IF(A1508="","",IF('Loan Inputs'!$B$14=12,DATE(YEAR('Loan Inputs'!$B$8),MONTH('Loan Inputs'!$B$8)+A1508,DAY('Loan Inputs'!$B$8)),'Loan Inputs'!$B$8+A1508*IF('Loan Inputs'!$B$14=26,14,7)))</f>
        <v/>
      </c>
      <c r="C1508" s="2" t="str">
        <f t="shared" si="71"/>
        <v/>
      </c>
      <c r="D1508" s="2" t="str">
        <f>IF(A1508="","",MIN('Loan Inputs'!$B$17,C1508+E1508)+H1508)</f>
        <v/>
      </c>
      <c r="E1508" s="2" t="str">
        <f>IF(A1508="","",C1508*'Loan Inputs'!$B$15)</f>
        <v/>
      </c>
      <c r="F1508" s="2" t="str">
        <f t="shared" si="69"/>
        <v/>
      </c>
      <c r="G1508" s="2" t="str">
        <f t="shared" si="70"/>
        <v/>
      </c>
      <c r="H1508" s="2" t="str">
        <f>IF(A1508="","",MIN('Loan Inputs'!$B$18,MAX(0,C1508+E1508-'Loan Inputs'!$B$17)))</f>
        <v/>
      </c>
    </row>
    <row r="1509" spans="1:8" ht="22" customHeight="1">
      <c r="A1509" s="1" t="str">
        <f>IF(AND('Loan Inputs'!$B$12,1503&lt;=IF('Loan Inputs'!$B$12,'Loan Inputs'!$B$7,0)*'Loan Inputs'!$B$14+5*'Loan Inputs'!$B$14,ISNUMBER(G1508),G1508&gt;0),1503,"")</f>
        <v/>
      </c>
      <c r="B1509" s="4" t="str">
        <f>IF(A1509="","",IF('Loan Inputs'!$B$14=12,DATE(YEAR('Loan Inputs'!$B$8),MONTH('Loan Inputs'!$B$8)+A1509,DAY('Loan Inputs'!$B$8)),'Loan Inputs'!$B$8+A1509*IF('Loan Inputs'!$B$14=26,14,7)))</f>
        <v/>
      </c>
      <c r="C1509" s="2" t="str">
        <f t="shared" si="71"/>
        <v/>
      </c>
      <c r="D1509" s="2" t="str">
        <f>IF(A1509="","",MIN('Loan Inputs'!$B$17,C1509+E1509)+H1509)</f>
        <v/>
      </c>
      <c r="E1509" s="2" t="str">
        <f>IF(A1509="","",C1509*'Loan Inputs'!$B$15)</f>
        <v/>
      </c>
      <c r="F1509" s="2" t="str">
        <f t="shared" si="69"/>
        <v/>
      </c>
      <c r="G1509" s="2" t="str">
        <f t="shared" si="70"/>
        <v/>
      </c>
      <c r="H1509" s="2" t="str">
        <f>IF(A1509="","",MIN('Loan Inputs'!$B$18,MAX(0,C1509+E1509-'Loan Inputs'!$B$17)))</f>
        <v/>
      </c>
    </row>
    <row r="1510" spans="1:8" ht="22" customHeight="1">
      <c r="A1510" s="1" t="str">
        <f>IF(AND('Loan Inputs'!$B$12,1504&lt;=IF('Loan Inputs'!$B$12,'Loan Inputs'!$B$7,0)*'Loan Inputs'!$B$14+5*'Loan Inputs'!$B$14,ISNUMBER(G1509),G1509&gt;0),1504,"")</f>
        <v/>
      </c>
      <c r="B1510" s="4" t="str">
        <f>IF(A1510="","",IF('Loan Inputs'!$B$14=12,DATE(YEAR('Loan Inputs'!$B$8),MONTH('Loan Inputs'!$B$8)+A1510,DAY('Loan Inputs'!$B$8)),'Loan Inputs'!$B$8+A1510*IF('Loan Inputs'!$B$14=26,14,7)))</f>
        <v/>
      </c>
      <c r="C1510" s="2" t="str">
        <f t="shared" si="71"/>
        <v/>
      </c>
      <c r="D1510" s="2" t="str">
        <f>IF(A1510="","",MIN('Loan Inputs'!$B$17,C1510+E1510)+H1510)</f>
        <v/>
      </c>
      <c r="E1510" s="2" t="str">
        <f>IF(A1510="","",C1510*'Loan Inputs'!$B$15)</f>
        <v/>
      </c>
      <c r="F1510" s="2" t="str">
        <f t="shared" si="69"/>
        <v/>
      </c>
      <c r="G1510" s="2" t="str">
        <f t="shared" si="70"/>
        <v/>
      </c>
      <c r="H1510" s="2" t="str">
        <f>IF(A1510="","",MIN('Loan Inputs'!$B$18,MAX(0,C1510+E1510-'Loan Inputs'!$B$17)))</f>
        <v/>
      </c>
    </row>
    <row r="1511" spans="1:8" ht="22" customHeight="1">
      <c r="A1511" s="1" t="str">
        <f>IF(AND('Loan Inputs'!$B$12,1505&lt;=IF('Loan Inputs'!$B$12,'Loan Inputs'!$B$7,0)*'Loan Inputs'!$B$14+5*'Loan Inputs'!$B$14,ISNUMBER(G1510),G1510&gt;0),1505,"")</f>
        <v/>
      </c>
      <c r="B1511" s="4" t="str">
        <f>IF(A1511="","",IF('Loan Inputs'!$B$14=12,DATE(YEAR('Loan Inputs'!$B$8),MONTH('Loan Inputs'!$B$8)+A1511,DAY('Loan Inputs'!$B$8)),'Loan Inputs'!$B$8+A1511*IF('Loan Inputs'!$B$14=26,14,7)))</f>
        <v/>
      </c>
      <c r="C1511" s="2" t="str">
        <f t="shared" si="71"/>
        <v/>
      </c>
      <c r="D1511" s="2" t="str">
        <f>IF(A1511="","",MIN('Loan Inputs'!$B$17,C1511+E1511)+H1511)</f>
        <v/>
      </c>
      <c r="E1511" s="2" t="str">
        <f>IF(A1511="","",C1511*'Loan Inputs'!$B$15)</f>
        <v/>
      </c>
      <c r="F1511" s="2" t="str">
        <f t="shared" si="69"/>
        <v/>
      </c>
      <c r="G1511" s="2" t="str">
        <f t="shared" si="70"/>
        <v/>
      </c>
      <c r="H1511" s="2" t="str">
        <f>IF(A1511="","",MIN('Loan Inputs'!$B$18,MAX(0,C1511+E1511-'Loan Inputs'!$B$17)))</f>
        <v/>
      </c>
    </row>
    <row r="1512" spans="1:8" ht="22" customHeight="1">
      <c r="A1512" s="1" t="str">
        <f>IF(AND('Loan Inputs'!$B$12,1506&lt;=IF('Loan Inputs'!$B$12,'Loan Inputs'!$B$7,0)*'Loan Inputs'!$B$14+5*'Loan Inputs'!$B$14,ISNUMBER(G1511),G1511&gt;0),1506,"")</f>
        <v/>
      </c>
      <c r="B1512" s="4" t="str">
        <f>IF(A1512="","",IF('Loan Inputs'!$B$14=12,DATE(YEAR('Loan Inputs'!$B$8),MONTH('Loan Inputs'!$B$8)+A1512,DAY('Loan Inputs'!$B$8)),'Loan Inputs'!$B$8+A1512*IF('Loan Inputs'!$B$14=26,14,7)))</f>
        <v/>
      </c>
      <c r="C1512" s="2" t="str">
        <f t="shared" si="71"/>
        <v/>
      </c>
      <c r="D1512" s="2" t="str">
        <f>IF(A1512="","",MIN('Loan Inputs'!$B$17,C1512+E1512)+H1512)</f>
        <v/>
      </c>
      <c r="E1512" s="2" t="str">
        <f>IF(A1512="","",C1512*'Loan Inputs'!$B$15)</f>
        <v/>
      </c>
      <c r="F1512" s="2" t="str">
        <f t="shared" si="69"/>
        <v/>
      </c>
      <c r="G1512" s="2" t="str">
        <f t="shared" si="70"/>
        <v/>
      </c>
      <c r="H1512" s="2" t="str">
        <f>IF(A1512="","",MIN('Loan Inputs'!$B$18,MAX(0,C1512+E1512-'Loan Inputs'!$B$17)))</f>
        <v/>
      </c>
    </row>
    <row r="1513" spans="1:8" ht="22" customHeight="1">
      <c r="A1513" s="1" t="str">
        <f>IF(AND('Loan Inputs'!$B$12,1507&lt;=IF('Loan Inputs'!$B$12,'Loan Inputs'!$B$7,0)*'Loan Inputs'!$B$14+5*'Loan Inputs'!$B$14,ISNUMBER(G1512),G1512&gt;0),1507,"")</f>
        <v/>
      </c>
      <c r="B1513" s="4" t="str">
        <f>IF(A1513="","",IF('Loan Inputs'!$B$14=12,DATE(YEAR('Loan Inputs'!$B$8),MONTH('Loan Inputs'!$B$8)+A1513,DAY('Loan Inputs'!$B$8)),'Loan Inputs'!$B$8+A1513*IF('Loan Inputs'!$B$14=26,14,7)))</f>
        <v/>
      </c>
      <c r="C1513" s="2" t="str">
        <f t="shared" si="71"/>
        <v/>
      </c>
      <c r="D1513" s="2" t="str">
        <f>IF(A1513="","",MIN('Loan Inputs'!$B$17,C1513+E1513)+H1513)</f>
        <v/>
      </c>
      <c r="E1513" s="2" t="str">
        <f>IF(A1513="","",C1513*'Loan Inputs'!$B$15)</f>
        <v/>
      </c>
      <c r="F1513" s="2" t="str">
        <f t="shared" si="69"/>
        <v/>
      </c>
      <c r="G1513" s="2" t="str">
        <f t="shared" si="70"/>
        <v/>
      </c>
      <c r="H1513" s="2" t="str">
        <f>IF(A1513="","",MIN('Loan Inputs'!$B$18,MAX(0,C1513+E1513-'Loan Inputs'!$B$17)))</f>
        <v/>
      </c>
    </row>
    <row r="1514" spans="1:8" ht="22" customHeight="1">
      <c r="A1514" s="1" t="str">
        <f>IF(AND('Loan Inputs'!$B$12,1508&lt;=IF('Loan Inputs'!$B$12,'Loan Inputs'!$B$7,0)*'Loan Inputs'!$B$14+5*'Loan Inputs'!$B$14,ISNUMBER(G1513),G1513&gt;0),1508,"")</f>
        <v/>
      </c>
      <c r="B1514" s="4" t="str">
        <f>IF(A1514="","",IF('Loan Inputs'!$B$14=12,DATE(YEAR('Loan Inputs'!$B$8),MONTH('Loan Inputs'!$B$8)+A1514,DAY('Loan Inputs'!$B$8)),'Loan Inputs'!$B$8+A1514*IF('Loan Inputs'!$B$14=26,14,7)))</f>
        <v/>
      </c>
      <c r="C1514" s="2" t="str">
        <f t="shared" si="71"/>
        <v/>
      </c>
      <c r="D1514" s="2" t="str">
        <f>IF(A1514="","",MIN('Loan Inputs'!$B$17,C1514+E1514)+H1514)</f>
        <v/>
      </c>
      <c r="E1514" s="2" t="str">
        <f>IF(A1514="","",C1514*'Loan Inputs'!$B$15)</f>
        <v/>
      </c>
      <c r="F1514" s="2" t="str">
        <f t="shared" si="69"/>
        <v/>
      </c>
      <c r="G1514" s="2" t="str">
        <f t="shared" si="70"/>
        <v/>
      </c>
      <c r="H1514" s="2" t="str">
        <f>IF(A1514="","",MIN('Loan Inputs'!$B$18,MAX(0,C1514+E1514-'Loan Inputs'!$B$17)))</f>
        <v/>
      </c>
    </row>
    <row r="1515" spans="1:8" ht="22" customHeight="1">
      <c r="A1515" s="1" t="str">
        <f>IF(AND('Loan Inputs'!$B$12,1509&lt;=IF('Loan Inputs'!$B$12,'Loan Inputs'!$B$7,0)*'Loan Inputs'!$B$14+5*'Loan Inputs'!$B$14,ISNUMBER(G1514),G1514&gt;0),1509,"")</f>
        <v/>
      </c>
      <c r="B1515" s="4" t="str">
        <f>IF(A1515="","",IF('Loan Inputs'!$B$14=12,DATE(YEAR('Loan Inputs'!$B$8),MONTH('Loan Inputs'!$B$8)+A1515,DAY('Loan Inputs'!$B$8)),'Loan Inputs'!$B$8+A1515*IF('Loan Inputs'!$B$14=26,14,7)))</f>
        <v/>
      </c>
      <c r="C1515" s="2" t="str">
        <f t="shared" si="71"/>
        <v/>
      </c>
      <c r="D1515" s="2" t="str">
        <f>IF(A1515="","",MIN('Loan Inputs'!$B$17,C1515+E1515)+H1515)</f>
        <v/>
      </c>
      <c r="E1515" s="2" t="str">
        <f>IF(A1515="","",C1515*'Loan Inputs'!$B$15)</f>
        <v/>
      </c>
      <c r="F1515" s="2" t="str">
        <f t="shared" si="69"/>
        <v/>
      </c>
      <c r="G1515" s="2" t="str">
        <f t="shared" si="70"/>
        <v/>
      </c>
      <c r="H1515" s="2" t="str">
        <f>IF(A1515="","",MIN('Loan Inputs'!$B$18,MAX(0,C1515+E1515-'Loan Inputs'!$B$17)))</f>
        <v/>
      </c>
    </row>
    <row r="1516" spans="1:8" ht="22" customHeight="1">
      <c r="A1516" s="1" t="str">
        <f>IF(AND('Loan Inputs'!$B$12,1510&lt;=IF('Loan Inputs'!$B$12,'Loan Inputs'!$B$7,0)*'Loan Inputs'!$B$14+5*'Loan Inputs'!$B$14,ISNUMBER(G1515),G1515&gt;0),1510,"")</f>
        <v/>
      </c>
      <c r="B1516" s="4" t="str">
        <f>IF(A1516="","",IF('Loan Inputs'!$B$14=12,DATE(YEAR('Loan Inputs'!$B$8),MONTH('Loan Inputs'!$B$8)+A1516,DAY('Loan Inputs'!$B$8)),'Loan Inputs'!$B$8+A1516*IF('Loan Inputs'!$B$14=26,14,7)))</f>
        <v/>
      </c>
      <c r="C1516" s="2" t="str">
        <f t="shared" si="71"/>
        <v/>
      </c>
      <c r="D1516" s="2" t="str">
        <f>IF(A1516="","",MIN('Loan Inputs'!$B$17,C1516+E1516)+H1516)</f>
        <v/>
      </c>
      <c r="E1516" s="2" t="str">
        <f>IF(A1516="","",C1516*'Loan Inputs'!$B$15)</f>
        <v/>
      </c>
      <c r="F1516" s="2" t="str">
        <f t="shared" si="69"/>
        <v/>
      </c>
      <c r="G1516" s="2" t="str">
        <f t="shared" si="70"/>
        <v/>
      </c>
      <c r="H1516" s="2" t="str">
        <f>IF(A1516="","",MIN('Loan Inputs'!$B$18,MAX(0,C1516+E1516-'Loan Inputs'!$B$17)))</f>
        <v/>
      </c>
    </row>
    <row r="1517" spans="1:8" ht="22" customHeight="1">
      <c r="A1517" s="1" t="str">
        <f>IF(AND('Loan Inputs'!$B$12,1511&lt;=IF('Loan Inputs'!$B$12,'Loan Inputs'!$B$7,0)*'Loan Inputs'!$B$14+5*'Loan Inputs'!$B$14,ISNUMBER(G1516),G1516&gt;0),1511,"")</f>
        <v/>
      </c>
      <c r="B1517" s="4" t="str">
        <f>IF(A1517="","",IF('Loan Inputs'!$B$14=12,DATE(YEAR('Loan Inputs'!$B$8),MONTH('Loan Inputs'!$B$8)+A1517,DAY('Loan Inputs'!$B$8)),'Loan Inputs'!$B$8+A1517*IF('Loan Inputs'!$B$14=26,14,7)))</f>
        <v/>
      </c>
      <c r="C1517" s="2" t="str">
        <f t="shared" si="71"/>
        <v/>
      </c>
      <c r="D1517" s="2" t="str">
        <f>IF(A1517="","",MIN('Loan Inputs'!$B$17,C1517+E1517)+H1517)</f>
        <v/>
      </c>
      <c r="E1517" s="2" t="str">
        <f>IF(A1517="","",C1517*'Loan Inputs'!$B$15)</f>
        <v/>
      </c>
      <c r="F1517" s="2" t="str">
        <f t="shared" si="69"/>
        <v/>
      </c>
      <c r="G1517" s="2" t="str">
        <f t="shared" si="70"/>
        <v/>
      </c>
      <c r="H1517" s="2" t="str">
        <f>IF(A1517="","",MIN('Loan Inputs'!$B$18,MAX(0,C1517+E1517-'Loan Inputs'!$B$17)))</f>
        <v/>
      </c>
    </row>
    <row r="1518" spans="1:8" ht="22" customHeight="1">
      <c r="A1518" s="1" t="str">
        <f>IF(AND('Loan Inputs'!$B$12,1512&lt;=IF('Loan Inputs'!$B$12,'Loan Inputs'!$B$7,0)*'Loan Inputs'!$B$14+5*'Loan Inputs'!$B$14,ISNUMBER(G1517),G1517&gt;0),1512,"")</f>
        <v/>
      </c>
      <c r="B1518" s="4" t="str">
        <f>IF(A1518="","",IF('Loan Inputs'!$B$14=12,DATE(YEAR('Loan Inputs'!$B$8),MONTH('Loan Inputs'!$B$8)+A1518,DAY('Loan Inputs'!$B$8)),'Loan Inputs'!$B$8+A1518*IF('Loan Inputs'!$B$14=26,14,7)))</f>
        <v/>
      </c>
      <c r="C1518" s="2" t="str">
        <f t="shared" si="71"/>
        <v/>
      </c>
      <c r="D1518" s="2" t="str">
        <f>IF(A1518="","",MIN('Loan Inputs'!$B$17,C1518+E1518)+H1518)</f>
        <v/>
      </c>
      <c r="E1518" s="2" t="str">
        <f>IF(A1518="","",C1518*'Loan Inputs'!$B$15)</f>
        <v/>
      </c>
      <c r="F1518" s="2" t="str">
        <f t="shared" si="69"/>
        <v/>
      </c>
      <c r="G1518" s="2" t="str">
        <f t="shared" si="70"/>
        <v/>
      </c>
      <c r="H1518" s="2" t="str">
        <f>IF(A1518="","",MIN('Loan Inputs'!$B$18,MAX(0,C1518+E1518-'Loan Inputs'!$B$17)))</f>
        <v/>
      </c>
    </row>
    <row r="1519" spans="1:8" ht="22" customHeight="1">
      <c r="A1519" s="1" t="str">
        <f>IF(AND('Loan Inputs'!$B$12,1513&lt;=IF('Loan Inputs'!$B$12,'Loan Inputs'!$B$7,0)*'Loan Inputs'!$B$14+5*'Loan Inputs'!$B$14,ISNUMBER(G1518),G1518&gt;0),1513,"")</f>
        <v/>
      </c>
      <c r="B1519" s="4" t="str">
        <f>IF(A1519="","",IF('Loan Inputs'!$B$14=12,DATE(YEAR('Loan Inputs'!$B$8),MONTH('Loan Inputs'!$B$8)+A1519,DAY('Loan Inputs'!$B$8)),'Loan Inputs'!$B$8+A1519*IF('Loan Inputs'!$B$14=26,14,7)))</f>
        <v/>
      </c>
      <c r="C1519" s="2" t="str">
        <f t="shared" si="71"/>
        <v/>
      </c>
      <c r="D1519" s="2" t="str">
        <f>IF(A1519="","",MIN('Loan Inputs'!$B$17,C1519+E1519)+H1519)</f>
        <v/>
      </c>
      <c r="E1519" s="2" t="str">
        <f>IF(A1519="","",C1519*'Loan Inputs'!$B$15)</f>
        <v/>
      </c>
      <c r="F1519" s="2" t="str">
        <f t="shared" si="69"/>
        <v/>
      </c>
      <c r="G1519" s="2" t="str">
        <f t="shared" si="70"/>
        <v/>
      </c>
      <c r="H1519" s="2" t="str">
        <f>IF(A1519="","",MIN('Loan Inputs'!$B$18,MAX(0,C1519+E1519-'Loan Inputs'!$B$17)))</f>
        <v/>
      </c>
    </row>
    <row r="1520" spans="1:8" ht="22" customHeight="1">
      <c r="A1520" s="1" t="str">
        <f>IF(AND('Loan Inputs'!$B$12,1514&lt;=IF('Loan Inputs'!$B$12,'Loan Inputs'!$B$7,0)*'Loan Inputs'!$B$14+5*'Loan Inputs'!$B$14,ISNUMBER(G1519),G1519&gt;0),1514,"")</f>
        <v/>
      </c>
      <c r="B1520" s="4" t="str">
        <f>IF(A1520="","",IF('Loan Inputs'!$B$14=12,DATE(YEAR('Loan Inputs'!$B$8),MONTH('Loan Inputs'!$B$8)+A1520,DAY('Loan Inputs'!$B$8)),'Loan Inputs'!$B$8+A1520*IF('Loan Inputs'!$B$14=26,14,7)))</f>
        <v/>
      </c>
      <c r="C1520" s="2" t="str">
        <f t="shared" si="71"/>
        <v/>
      </c>
      <c r="D1520" s="2" t="str">
        <f>IF(A1520="","",MIN('Loan Inputs'!$B$17,C1520+E1520)+H1520)</f>
        <v/>
      </c>
      <c r="E1520" s="2" t="str">
        <f>IF(A1520="","",C1520*'Loan Inputs'!$B$15)</f>
        <v/>
      </c>
      <c r="F1520" s="2" t="str">
        <f t="shared" si="69"/>
        <v/>
      </c>
      <c r="G1520" s="2" t="str">
        <f t="shared" si="70"/>
        <v/>
      </c>
      <c r="H1520" s="2" t="str">
        <f>IF(A1520="","",MIN('Loan Inputs'!$B$18,MAX(0,C1520+E1520-'Loan Inputs'!$B$17)))</f>
        <v/>
      </c>
    </row>
    <row r="1521" spans="1:8" ht="22" customHeight="1">
      <c r="A1521" s="1" t="str">
        <f>IF(AND('Loan Inputs'!$B$12,1515&lt;=IF('Loan Inputs'!$B$12,'Loan Inputs'!$B$7,0)*'Loan Inputs'!$B$14+5*'Loan Inputs'!$B$14,ISNUMBER(G1520),G1520&gt;0),1515,"")</f>
        <v/>
      </c>
      <c r="B1521" s="4" t="str">
        <f>IF(A1521="","",IF('Loan Inputs'!$B$14=12,DATE(YEAR('Loan Inputs'!$B$8),MONTH('Loan Inputs'!$B$8)+A1521,DAY('Loan Inputs'!$B$8)),'Loan Inputs'!$B$8+A1521*IF('Loan Inputs'!$B$14=26,14,7)))</f>
        <v/>
      </c>
      <c r="C1521" s="2" t="str">
        <f t="shared" si="71"/>
        <v/>
      </c>
      <c r="D1521" s="2" t="str">
        <f>IF(A1521="","",MIN('Loan Inputs'!$B$17,C1521+E1521)+H1521)</f>
        <v/>
      </c>
      <c r="E1521" s="2" t="str">
        <f>IF(A1521="","",C1521*'Loan Inputs'!$B$15)</f>
        <v/>
      </c>
      <c r="F1521" s="2" t="str">
        <f t="shared" si="69"/>
        <v/>
      </c>
      <c r="G1521" s="2" t="str">
        <f t="shared" si="70"/>
        <v/>
      </c>
      <c r="H1521" s="2" t="str">
        <f>IF(A1521="","",MIN('Loan Inputs'!$B$18,MAX(0,C1521+E1521-'Loan Inputs'!$B$17)))</f>
        <v/>
      </c>
    </row>
    <row r="1522" spans="1:8" ht="22" customHeight="1">
      <c r="A1522" s="1" t="str">
        <f>IF(AND('Loan Inputs'!$B$12,1516&lt;=IF('Loan Inputs'!$B$12,'Loan Inputs'!$B$7,0)*'Loan Inputs'!$B$14+5*'Loan Inputs'!$B$14,ISNUMBER(G1521),G1521&gt;0),1516,"")</f>
        <v/>
      </c>
      <c r="B1522" s="4" t="str">
        <f>IF(A1522="","",IF('Loan Inputs'!$B$14=12,DATE(YEAR('Loan Inputs'!$B$8),MONTH('Loan Inputs'!$B$8)+A1522,DAY('Loan Inputs'!$B$8)),'Loan Inputs'!$B$8+A1522*IF('Loan Inputs'!$B$14=26,14,7)))</f>
        <v/>
      </c>
      <c r="C1522" s="2" t="str">
        <f t="shared" si="71"/>
        <v/>
      </c>
      <c r="D1522" s="2" t="str">
        <f>IF(A1522="","",MIN('Loan Inputs'!$B$17,C1522+E1522)+H1522)</f>
        <v/>
      </c>
      <c r="E1522" s="2" t="str">
        <f>IF(A1522="","",C1522*'Loan Inputs'!$B$15)</f>
        <v/>
      </c>
      <c r="F1522" s="2" t="str">
        <f t="shared" si="69"/>
        <v/>
      </c>
      <c r="G1522" s="2" t="str">
        <f t="shared" si="70"/>
        <v/>
      </c>
      <c r="H1522" s="2" t="str">
        <f>IF(A1522="","",MIN('Loan Inputs'!$B$18,MAX(0,C1522+E1522-'Loan Inputs'!$B$17)))</f>
        <v/>
      </c>
    </row>
    <row r="1523" spans="1:8" ht="22" customHeight="1">
      <c r="A1523" s="1" t="str">
        <f>IF(AND('Loan Inputs'!$B$12,1517&lt;=IF('Loan Inputs'!$B$12,'Loan Inputs'!$B$7,0)*'Loan Inputs'!$B$14+5*'Loan Inputs'!$B$14,ISNUMBER(G1522),G1522&gt;0),1517,"")</f>
        <v/>
      </c>
      <c r="B1523" s="4" t="str">
        <f>IF(A1523="","",IF('Loan Inputs'!$B$14=12,DATE(YEAR('Loan Inputs'!$B$8),MONTH('Loan Inputs'!$B$8)+A1523,DAY('Loan Inputs'!$B$8)),'Loan Inputs'!$B$8+A1523*IF('Loan Inputs'!$B$14=26,14,7)))</f>
        <v/>
      </c>
      <c r="C1523" s="2" t="str">
        <f t="shared" si="71"/>
        <v/>
      </c>
      <c r="D1523" s="2" t="str">
        <f>IF(A1523="","",MIN('Loan Inputs'!$B$17,C1523+E1523)+H1523)</f>
        <v/>
      </c>
      <c r="E1523" s="2" t="str">
        <f>IF(A1523="","",C1523*'Loan Inputs'!$B$15)</f>
        <v/>
      </c>
      <c r="F1523" s="2" t="str">
        <f t="shared" si="69"/>
        <v/>
      </c>
      <c r="G1523" s="2" t="str">
        <f t="shared" si="70"/>
        <v/>
      </c>
      <c r="H1523" s="2" t="str">
        <f>IF(A1523="","",MIN('Loan Inputs'!$B$18,MAX(0,C1523+E1523-'Loan Inputs'!$B$17)))</f>
        <v/>
      </c>
    </row>
    <row r="1524" spans="1:8" ht="22" customHeight="1">
      <c r="A1524" s="1" t="str">
        <f>IF(AND('Loan Inputs'!$B$12,1518&lt;=IF('Loan Inputs'!$B$12,'Loan Inputs'!$B$7,0)*'Loan Inputs'!$B$14+5*'Loan Inputs'!$B$14,ISNUMBER(G1523),G1523&gt;0),1518,"")</f>
        <v/>
      </c>
      <c r="B1524" s="4" t="str">
        <f>IF(A1524="","",IF('Loan Inputs'!$B$14=12,DATE(YEAR('Loan Inputs'!$B$8),MONTH('Loan Inputs'!$B$8)+A1524,DAY('Loan Inputs'!$B$8)),'Loan Inputs'!$B$8+A1524*IF('Loan Inputs'!$B$14=26,14,7)))</f>
        <v/>
      </c>
      <c r="C1524" s="2" t="str">
        <f t="shared" si="71"/>
        <v/>
      </c>
      <c r="D1524" s="2" t="str">
        <f>IF(A1524="","",MIN('Loan Inputs'!$B$17,C1524+E1524)+H1524)</f>
        <v/>
      </c>
      <c r="E1524" s="2" t="str">
        <f>IF(A1524="","",C1524*'Loan Inputs'!$B$15)</f>
        <v/>
      </c>
      <c r="F1524" s="2" t="str">
        <f t="shared" si="69"/>
        <v/>
      </c>
      <c r="G1524" s="2" t="str">
        <f t="shared" si="70"/>
        <v/>
      </c>
      <c r="H1524" s="2" t="str">
        <f>IF(A1524="","",MIN('Loan Inputs'!$B$18,MAX(0,C1524+E1524-'Loan Inputs'!$B$17)))</f>
        <v/>
      </c>
    </row>
    <row r="1525" spans="1:8" ht="22" customHeight="1">
      <c r="A1525" s="1" t="str">
        <f>IF(AND('Loan Inputs'!$B$12,1519&lt;=IF('Loan Inputs'!$B$12,'Loan Inputs'!$B$7,0)*'Loan Inputs'!$B$14+5*'Loan Inputs'!$B$14,ISNUMBER(G1524),G1524&gt;0),1519,"")</f>
        <v/>
      </c>
      <c r="B1525" s="4" t="str">
        <f>IF(A1525="","",IF('Loan Inputs'!$B$14=12,DATE(YEAR('Loan Inputs'!$B$8),MONTH('Loan Inputs'!$B$8)+A1525,DAY('Loan Inputs'!$B$8)),'Loan Inputs'!$B$8+A1525*IF('Loan Inputs'!$B$14=26,14,7)))</f>
        <v/>
      </c>
      <c r="C1525" s="2" t="str">
        <f t="shared" si="71"/>
        <v/>
      </c>
      <c r="D1525" s="2" t="str">
        <f>IF(A1525="","",MIN('Loan Inputs'!$B$17,C1525+E1525)+H1525)</f>
        <v/>
      </c>
      <c r="E1525" s="2" t="str">
        <f>IF(A1525="","",C1525*'Loan Inputs'!$B$15)</f>
        <v/>
      </c>
      <c r="F1525" s="2" t="str">
        <f t="shared" si="69"/>
        <v/>
      </c>
      <c r="G1525" s="2" t="str">
        <f t="shared" si="70"/>
        <v/>
      </c>
      <c r="H1525" s="2" t="str">
        <f>IF(A1525="","",MIN('Loan Inputs'!$B$18,MAX(0,C1525+E1525-'Loan Inputs'!$B$17)))</f>
        <v/>
      </c>
    </row>
    <row r="1526" spans="1:8" ht="22" customHeight="1">
      <c r="A1526" s="1" t="str">
        <f>IF(AND('Loan Inputs'!$B$12,1520&lt;=IF('Loan Inputs'!$B$12,'Loan Inputs'!$B$7,0)*'Loan Inputs'!$B$14+5*'Loan Inputs'!$B$14,ISNUMBER(G1525),G1525&gt;0),1520,"")</f>
        <v/>
      </c>
      <c r="B1526" s="4" t="str">
        <f>IF(A1526="","",IF('Loan Inputs'!$B$14=12,DATE(YEAR('Loan Inputs'!$B$8),MONTH('Loan Inputs'!$B$8)+A1526,DAY('Loan Inputs'!$B$8)),'Loan Inputs'!$B$8+A1526*IF('Loan Inputs'!$B$14=26,14,7)))</f>
        <v/>
      </c>
      <c r="C1526" s="2" t="str">
        <f t="shared" si="71"/>
        <v/>
      </c>
      <c r="D1526" s="2" t="str">
        <f>IF(A1526="","",MIN('Loan Inputs'!$B$17,C1526+E1526)+H1526)</f>
        <v/>
      </c>
      <c r="E1526" s="2" t="str">
        <f>IF(A1526="","",C1526*'Loan Inputs'!$B$15)</f>
        <v/>
      </c>
      <c r="F1526" s="2" t="str">
        <f t="shared" si="69"/>
        <v/>
      </c>
      <c r="G1526" s="2" t="str">
        <f t="shared" si="70"/>
        <v/>
      </c>
      <c r="H1526" s="2" t="str">
        <f>IF(A1526="","",MIN('Loan Inputs'!$B$18,MAX(0,C1526+E1526-'Loan Inputs'!$B$17)))</f>
        <v/>
      </c>
    </row>
    <row r="1527" spans="1:8" ht="22" customHeight="1">
      <c r="A1527" s="1" t="str">
        <f>IF(AND('Loan Inputs'!$B$12,1521&lt;=IF('Loan Inputs'!$B$12,'Loan Inputs'!$B$7,0)*'Loan Inputs'!$B$14+5*'Loan Inputs'!$B$14,ISNUMBER(G1526),G1526&gt;0),1521,"")</f>
        <v/>
      </c>
      <c r="B1527" s="4" t="str">
        <f>IF(A1527="","",IF('Loan Inputs'!$B$14=12,DATE(YEAR('Loan Inputs'!$B$8),MONTH('Loan Inputs'!$B$8)+A1527,DAY('Loan Inputs'!$B$8)),'Loan Inputs'!$B$8+A1527*IF('Loan Inputs'!$B$14=26,14,7)))</f>
        <v/>
      </c>
      <c r="C1527" s="2" t="str">
        <f t="shared" si="71"/>
        <v/>
      </c>
      <c r="D1527" s="2" t="str">
        <f>IF(A1527="","",MIN('Loan Inputs'!$B$17,C1527+E1527)+H1527)</f>
        <v/>
      </c>
      <c r="E1527" s="2" t="str">
        <f>IF(A1527="","",C1527*'Loan Inputs'!$B$15)</f>
        <v/>
      </c>
      <c r="F1527" s="2" t="str">
        <f t="shared" si="69"/>
        <v/>
      </c>
      <c r="G1527" s="2" t="str">
        <f t="shared" si="70"/>
        <v/>
      </c>
      <c r="H1527" s="2" t="str">
        <f>IF(A1527="","",MIN('Loan Inputs'!$B$18,MAX(0,C1527+E1527-'Loan Inputs'!$B$17)))</f>
        <v/>
      </c>
    </row>
    <row r="1528" spans="1:8" ht="22" customHeight="1">
      <c r="A1528" s="1" t="str">
        <f>IF(AND('Loan Inputs'!$B$12,1522&lt;=IF('Loan Inputs'!$B$12,'Loan Inputs'!$B$7,0)*'Loan Inputs'!$B$14+5*'Loan Inputs'!$B$14,ISNUMBER(G1527),G1527&gt;0),1522,"")</f>
        <v/>
      </c>
      <c r="B1528" s="4" t="str">
        <f>IF(A1528="","",IF('Loan Inputs'!$B$14=12,DATE(YEAR('Loan Inputs'!$B$8),MONTH('Loan Inputs'!$B$8)+A1528,DAY('Loan Inputs'!$B$8)),'Loan Inputs'!$B$8+A1528*IF('Loan Inputs'!$B$14=26,14,7)))</f>
        <v/>
      </c>
      <c r="C1528" s="2" t="str">
        <f t="shared" si="71"/>
        <v/>
      </c>
      <c r="D1528" s="2" t="str">
        <f>IF(A1528="","",MIN('Loan Inputs'!$B$17,C1528+E1528)+H1528)</f>
        <v/>
      </c>
      <c r="E1528" s="2" t="str">
        <f>IF(A1528="","",C1528*'Loan Inputs'!$B$15)</f>
        <v/>
      </c>
      <c r="F1528" s="2" t="str">
        <f t="shared" si="69"/>
        <v/>
      </c>
      <c r="G1528" s="2" t="str">
        <f t="shared" si="70"/>
        <v/>
      </c>
      <c r="H1528" s="2" t="str">
        <f>IF(A1528="","",MIN('Loan Inputs'!$B$18,MAX(0,C1528+E1528-'Loan Inputs'!$B$17)))</f>
        <v/>
      </c>
    </row>
    <row r="1529" spans="1:8" ht="22" customHeight="1">
      <c r="A1529" s="1" t="str">
        <f>IF(AND('Loan Inputs'!$B$12,1523&lt;=IF('Loan Inputs'!$B$12,'Loan Inputs'!$B$7,0)*'Loan Inputs'!$B$14+5*'Loan Inputs'!$B$14,ISNUMBER(G1528),G1528&gt;0),1523,"")</f>
        <v/>
      </c>
      <c r="B1529" s="4" t="str">
        <f>IF(A1529="","",IF('Loan Inputs'!$B$14=12,DATE(YEAR('Loan Inputs'!$B$8),MONTH('Loan Inputs'!$B$8)+A1529,DAY('Loan Inputs'!$B$8)),'Loan Inputs'!$B$8+A1529*IF('Loan Inputs'!$B$14=26,14,7)))</f>
        <v/>
      </c>
      <c r="C1529" s="2" t="str">
        <f t="shared" si="71"/>
        <v/>
      </c>
      <c r="D1529" s="2" t="str">
        <f>IF(A1529="","",MIN('Loan Inputs'!$B$17,C1529+E1529)+H1529)</f>
        <v/>
      </c>
      <c r="E1529" s="2" t="str">
        <f>IF(A1529="","",C1529*'Loan Inputs'!$B$15)</f>
        <v/>
      </c>
      <c r="F1529" s="2" t="str">
        <f t="shared" si="69"/>
        <v/>
      </c>
      <c r="G1529" s="2" t="str">
        <f t="shared" si="70"/>
        <v/>
      </c>
      <c r="H1529" s="2" t="str">
        <f>IF(A1529="","",MIN('Loan Inputs'!$B$18,MAX(0,C1529+E1529-'Loan Inputs'!$B$17)))</f>
        <v/>
      </c>
    </row>
    <row r="1530" spans="1:8" ht="22" customHeight="1">
      <c r="A1530" s="1" t="str">
        <f>IF(AND('Loan Inputs'!$B$12,1524&lt;=IF('Loan Inputs'!$B$12,'Loan Inputs'!$B$7,0)*'Loan Inputs'!$B$14+5*'Loan Inputs'!$B$14,ISNUMBER(G1529),G1529&gt;0),1524,"")</f>
        <v/>
      </c>
      <c r="B1530" s="4" t="str">
        <f>IF(A1530="","",IF('Loan Inputs'!$B$14=12,DATE(YEAR('Loan Inputs'!$B$8),MONTH('Loan Inputs'!$B$8)+A1530,DAY('Loan Inputs'!$B$8)),'Loan Inputs'!$B$8+A1530*IF('Loan Inputs'!$B$14=26,14,7)))</f>
        <v/>
      </c>
      <c r="C1530" s="2" t="str">
        <f t="shared" si="71"/>
        <v/>
      </c>
      <c r="D1530" s="2" t="str">
        <f>IF(A1530="","",MIN('Loan Inputs'!$B$17,C1530+E1530)+H1530)</f>
        <v/>
      </c>
      <c r="E1530" s="2" t="str">
        <f>IF(A1530="","",C1530*'Loan Inputs'!$B$15)</f>
        <v/>
      </c>
      <c r="F1530" s="2" t="str">
        <f t="shared" si="69"/>
        <v/>
      </c>
      <c r="G1530" s="2" t="str">
        <f t="shared" si="70"/>
        <v/>
      </c>
      <c r="H1530" s="2" t="str">
        <f>IF(A1530="","",MIN('Loan Inputs'!$B$18,MAX(0,C1530+E1530-'Loan Inputs'!$B$17)))</f>
        <v/>
      </c>
    </row>
    <row r="1531" spans="1:8" ht="22" customHeight="1">
      <c r="A1531" s="1" t="str">
        <f>IF(AND('Loan Inputs'!$B$12,1525&lt;=IF('Loan Inputs'!$B$12,'Loan Inputs'!$B$7,0)*'Loan Inputs'!$B$14+5*'Loan Inputs'!$B$14,ISNUMBER(G1530),G1530&gt;0),1525,"")</f>
        <v/>
      </c>
      <c r="B1531" s="4" t="str">
        <f>IF(A1531="","",IF('Loan Inputs'!$B$14=12,DATE(YEAR('Loan Inputs'!$B$8),MONTH('Loan Inputs'!$B$8)+A1531,DAY('Loan Inputs'!$B$8)),'Loan Inputs'!$B$8+A1531*IF('Loan Inputs'!$B$14=26,14,7)))</f>
        <v/>
      </c>
      <c r="C1531" s="2" t="str">
        <f t="shared" si="71"/>
        <v/>
      </c>
      <c r="D1531" s="2" t="str">
        <f>IF(A1531="","",MIN('Loan Inputs'!$B$17,C1531+E1531)+H1531)</f>
        <v/>
      </c>
      <c r="E1531" s="2" t="str">
        <f>IF(A1531="","",C1531*'Loan Inputs'!$B$15)</f>
        <v/>
      </c>
      <c r="F1531" s="2" t="str">
        <f t="shared" si="69"/>
        <v/>
      </c>
      <c r="G1531" s="2" t="str">
        <f t="shared" si="70"/>
        <v/>
      </c>
      <c r="H1531" s="2" t="str">
        <f>IF(A1531="","",MIN('Loan Inputs'!$B$18,MAX(0,C1531+E1531-'Loan Inputs'!$B$17)))</f>
        <v/>
      </c>
    </row>
    <row r="1532" spans="1:8" ht="22" customHeight="1">
      <c r="A1532" s="1" t="str">
        <f>IF(AND('Loan Inputs'!$B$12,1526&lt;=IF('Loan Inputs'!$B$12,'Loan Inputs'!$B$7,0)*'Loan Inputs'!$B$14+5*'Loan Inputs'!$B$14,ISNUMBER(G1531),G1531&gt;0),1526,"")</f>
        <v/>
      </c>
      <c r="B1532" s="4" t="str">
        <f>IF(A1532="","",IF('Loan Inputs'!$B$14=12,DATE(YEAR('Loan Inputs'!$B$8),MONTH('Loan Inputs'!$B$8)+A1532,DAY('Loan Inputs'!$B$8)),'Loan Inputs'!$B$8+A1532*IF('Loan Inputs'!$B$14=26,14,7)))</f>
        <v/>
      </c>
      <c r="C1532" s="2" t="str">
        <f t="shared" si="71"/>
        <v/>
      </c>
      <c r="D1532" s="2" t="str">
        <f>IF(A1532="","",MIN('Loan Inputs'!$B$17,C1532+E1532)+H1532)</f>
        <v/>
      </c>
      <c r="E1532" s="2" t="str">
        <f>IF(A1532="","",C1532*'Loan Inputs'!$B$15)</f>
        <v/>
      </c>
      <c r="F1532" s="2" t="str">
        <f t="shared" si="69"/>
        <v/>
      </c>
      <c r="G1532" s="2" t="str">
        <f t="shared" si="70"/>
        <v/>
      </c>
      <c r="H1532" s="2" t="str">
        <f>IF(A1532="","",MIN('Loan Inputs'!$B$18,MAX(0,C1532+E1532-'Loan Inputs'!$B$17)))</f>
        <v/>
      </c>
    </row>
    <row r="1533" spans="1:8" ht="22" customHeight="1">
      <c r="A1533" s="1" t="str">
        <f>IF(AND('Loan Inputs'!$B$12,1527&lt;=IF('Loan Inputs'!$B$12,'Loan Inputs'!$B$7,0)*'Loan Inputs'!$B$14+5*'Loan Inputs'!$B$14,ISNUMBER(G1532),G1532&gt;0),1527,"")</f>
        <v/>
      </c>
      <c r="B1533" s="4" t="str">
        <f>IF(A1533="","",IF('Loan Inputs'!$B$14=12,DATE(YEAR('Loan Inputs'!$B$8),MONTH('Loan Inputs'!$B$8)+A1533,DAY('Loan Inputs'!$B$8)),'Loan Inputs'!$B$8+A1533*IF('Loan Inputs'!$B$14=26,14,7)))</f>
        <v/>
      </c>
      <c r="C1533" s="2" t="str">
        <f t="shared" si="71"/>
        <v/>
      </c>
      <c r="D1533" s="2" t="str">
        <f>IF(A1533="","",MIN('Loan Inputs'!$B$17,C1533+E1533)+H1533)</f>
        <v/>
      </c>
      <c r="E1533" s="2" t="str">
        <f>IF(A1533="","",C1533*'Loan Inputs'!$B$15)</f>
        <v/>
      </c>
      <c r="F1533" s="2" t="str">
        <f t="shared" si="69"/>
        <v/>
      </c>
      <c r="G1533" s="2" t="str">
        <f t="shared" si="70"/>
        <v/>
      </c>
      <c r="H1533" s="2" t="str">
        <f>IF(A1533="","",MIN('Loan Inputs'!$B$18,MAX(0,C1533+E1533-'Loan Inputs'!$B$17)))</f>
        <v/>
      </c>
    </row>
    <row r="1534" spans="1:8" ht="22" customHeight="1">
      <c r="A1534" s="1" t="str">
        <f>IF(AND('Loan Inputs'!$B$12,1528&lt;=IF('Loan Inputs'!$B$12,'Loan Inputs'!$B$7,0)*'Loan Inputs'!$B$14+5*'Loan Inputs'!$B$14,ISNUMBER(G1533),G1533&gt;0),1528,"")</f>
        <v/>
      </c>
      <c r="B1534" s="4" t="str">
        <f>IF(A1534="","",IF('Loan Inputs'!$B$14=12,DATE(YEAR('Loan Inputs'!$B$8),MONTH('Loan Inputs'!$B$8)+A1534,DAY('Loan Inputs'!$B$8)),'Loan Inputs'!$B$8+A1534*IF('Loan Inputs'!$B$14=26,14,7)))</f>
        <v/>
      </c>
      <c r="C1534" s="2" t="str">
        <f t="shared" si="71"/>
        <v/>
      </c>
      <c r="D1534" s="2" t="str">
        <f>IF(A1534="","",MIN('Loan Inputs'!$B$17,C1534+E1534)+H1534)</f>
        <v/>
      </c>
      <c r="E1534" s="2" t="str">
        <f>IF(A1534="","",C1534*'Loan Inputs'!$B$15)</f>
        <v/>
      </c>
      <c r="F1534" s="2" t="str">
        <f t="shared" si="69"/>
        <v/>
      </c>
      <c r="G1534" s="2" t="str">
        <f t="shared" si="70"/>
        <v/>
      </c>
      <c r="H1534" s="2" t="str">
        <f>IF(A1534="","",MIN('Loan Inputs'!$B$18,MAX(0,C1534+E1534-'Loan Inputs'!$B$17)))</f>
        <v/>
      </c>
    </row>
    <row r="1535" spans="1:8" ht="22" customHeight="1">
      <c r="A1535" s="1" t="str">
        <f>IF(AND('Loan Inputs'!$B$12,1529&lt;=IF('Loan Inputs'!$B$12,'Loan Inputs'!$B$7,0)*'Loan Inputs'!$B$14+5*'Loan Inputs'!$B$14,ISNUMBER(G1534),G1534&gt;0),1529,"")</f>
        <v/>
      </c>
      <c r="B1535" s="4" t="str">
        <f>IF(A1535="","",IF('Loan Inputs'!$B$14=12,DATE(YEAR('Loan Inputs'!$B$8),MONTH('Loan Inputs'!$B$8)+A1535,DAY('Loan Inputs'!$B$8)),'Loan Inputs'!$B$8+A1535*IF('Loan Inputs'!$B$14=26,14,7)))</f>
        <v/>
      </c>
      <c r="C1535" s="2" t="str">
        <f t="shared" si="71"/>
        <v/>
      </c>
      <c r="D1535" s="2" t="str">
        <f>IF(A1535="","",MIN('Loan Inputs'!$B$17,C1535+E1535)+H1535)</f>
        <v/>
      </c>
      <c r="E1535" s="2" t="str">
        <f>IF(A1535="","",C1535*'Loan Inputs'!$B$15)</f>
        <v/>
      </c>
      <c r="F1535" s="2" t="str">
        <f t="shared" si="69"/>
        <v/>
      </c>
      <c r="G1535" s="2" t="str">
        <f t="shared" si="70"/>
        <v/>
      </c>
      <c r="H1535" s="2" t="str">
        <f>IF(A1535="","",MIN('Loan Inputs'!$B$18,MAX(0,C1535+E1535-'Loan Inputs'!$B$17)))</f>
        <v/>
      </c>
    </row>
    <row r="1536" spans="1:8" ht="22" customHeight="1">
      <c r="A1536" s="1" t="str">
        <f>IF(AND('Loan Inputs'!$B$12,1530&lt;=IF('Loan Inputs'!$B$12,'Loan Inputs'!$B$7,0)*'Loan Inputs'!$B$14+5*'Loan Inputs'!$B$14,ISNUMBER(G1535),G1535&gt;0),1530,"")</f>
        <v/>
      </c>
      <c r="B1536" s="4" t="str">
        <f>IF(A1536="","",IF('Loan Inputs'!$B$14=12,DATE(YEAR('Loan Inputs'!$B$8),MONTH('Loan Inputs'!$B$8)+A1536,DAY('Loan Inputs'!$B$8)),'Loan Inputs'!$B$8+A1536*IF('Loan Inputs'!$B$14=26,14,7)))</f>
        <v/>
      </c>
      <c r="C1536" s="2" t="str">
        <f t="shared" si="71"/>
        <v/>
      </c>
      <c r="D1536" s="2" t="str">
        <f>IF(A1536="","",MIN('Loan Inputs'!$B$17,C1536+E1536)+H1536)</f>
        <v/>
      </c>
      <c r="E1536" s="2" t="str">
        <f>IF(A1536="","",C1536*'Loan Inputs'!$B$15)</f>
        <v/>
      </c>
      <c r="F1536" s="2" t="str">
        <f t="shared" si="69"/>
        <v/>
      </c>
      <c r="G1536" s="2" t="str">
        <f t="shared" si="70"/>
        <v/>
      </c>
      <c r="H1536" s="2" t="str">
        <f>IF(A1536="","",MIN('Loan Inputs'!$B$18,MAX(0,C1536+E1536-'Loan Inputs'!$B$17)))</f>
        <v/>
      </c>
    </row>
    <row r="1537" spans="1:8" ht="22" customHeight="1">
      <c r="A1537" s="1" t="str">
        <f>IF(AND('Loan Inputs'!$B$12,1531&lt;=IF('Loan Inputs'!$B$12,'Loan Inputs'!$B$7,0)*'Loan Inputs'!$B$14+5*'Loan Inputs'!$B$14,ISNUMBER(G1536),G1536&gt;0),1531,"")</f>
        <v/>
      </c>
      <c r="B1537" s="4" t="str">
        <f>IF(A1537="","",IF('Loan Inputs'!$B$14=12,DATE(YEAR('Loan Inputs'!$B$8),MONTH('Loan Inputs'!$B$8)+A1537,DAY('Loan Inputs'!$B$8)),'Loan Inputs'!$B$8+A1537*IF('Loan Inputs'!$B$14=26,14,7)))</f>
        <v/>
      </c>
      <c r="C1537" s="2" t="str">
        <f t="shared" si="71"/>
        <v/>
      </c>
      <c r="D1537" s="2" t="str">
        <f>IF(A1537="","",MIN('Loan Inputs'!$B$17,C1537+E1537)+H1537)</f>
        <v/>
      </c>
      <c r="E1537" s="2" t="str">
        <f>IF(A1537="","",C1537*'Loan Inputs'!$B$15)</f>
        <v/>
      </c>
      <c r="F1537" s="2" t="str">
        <f t="shared" si="69"/>
        <v/>
      </c>
      <c r="G1537" s="2" t="str">
        <f t="shared" si="70"/>
        <v/>
      </c>
      <c r="H1537" s="2" t="str">
        <f>IF(A1537="","",MIN('Loan Inputs'!$B$18,MAX(0,C1537+E1537-'Loan Inputs'!$B$17)))</f>
        <v/>
      </c>
    </row>
    <row r="1538" spans="1:8" ht="22" customHeight="1">
      <c r="A1538" s="1" t="str">
        <f>IF(AND('Loan Inputs'!$B$12,1532&lt;=IF('Loan Inputs'!$B$12,'Loan Inputs'!$B$7,0)*'Loan Inputs'!$B$14+5*'Loan Inputs'!$B$14,ISNUMBER(G1537),G1537&gt;0),1532,"")</f>
        <v/>
      </c>
      <c r="B1538" s="4" t="str">
        <f>IF(A1538="","",IF('Loan Inputs'!$B$14=12,DATE(YEAR('Loan Inputs'!$B$8),MONTH('Loan Inputs'!$B$8)+A1538,DAY('Loan Inputs'!$B$8)),'Loan Inputs'!$B$8+A1538*IF('Loan Inputs'!$B$14=26,14,7)))</f>
        <v/>
      </c>
      <c r="C1538" s="2" t="str">
        <f t="shared" si="71"/>
        <v/>
      </c>
      <c r="D1538" s="2" t="str">
        <f>IF(A1538="","",MIN('Loan Inputs'!$B$17,C1538+E1538)+H1538)</f>
        <v/>
      </c>
      <c r="E1538" s="2" t="str">
        <f>IF(A1538="","",C1538*'Loan Inputs'!$B$15)</f>
        <v/>
      </c>
      <c r="F1538" s="2" t="str">
        <f t="shared" si="69"/>
        <v/>
      </c>
      <c r="G1538" s="2" t="str">
        <f t="shared" si="70"/>
        <v/>
      </c>
      <c r="H1538" s="2" t="str">
        <f>IF(A1538="","",MIN('Loan Inputs'!$B$18,MAX(0,C1538+E1538-'Loan Inputs'!$B$17)))</f>
        <v/>
      </c>
    </row>
    <row r="1539" spans="1:8" ht="22" customHeight="1">
      <c r="A1539" s="1" t="str">
        <f>IF(AND('Loan Inputs'!$B$12,1533&lt;=IF('Loan Inputs'!$B$12,'Loan Inputs'!$B$7,0)*'Loan Inputs'!$B$14+5*'Loan Inputs'!$B$14,ISNUMBER(G1538),G1538&gt;0),1533,"")</f>
        <v/>
      </c>
      <c r="B1539" s="4" t="str">
        <f>IF(A1539="","",IF('Loan Inputs'!$B$14=12,DATE(YEAR('Loan Inputs'!$B$8),MONTH('Loan Inputs'!$B$8)+A1539,DAY('Loan Inputs'!$B$8)),'Loan Inputs'!$B$8+A1539*IF('Loan Inputs'!$B$14=26,14,7)))</f>
        <v/>
      </c>
      <c r="C1539" s="2" t="str">
        <f t="shared" si="71"/>
        <v/>
      </c>
      <c r="D1539" s="2" t="str">
        <f>IF(A1539="","",MIN('Loan Inputs'!$B$17,C1539+E1539)+H1539)</f>
        <v/>
      </c>
      <c r="E1539" s="2" t="str">
        <f>IF(A1539="","",C1539*'Loan Inputs'!$B$15)</f>
        <v/>
      </c>
      <c r="F1539" s="2" t="str">
        <f t="shared" si="69"/>
        <v/>
      </c>
      <c r="G1539" s="2" t="str">
        <f t="shared" si="70"/>
        <v/>
      </c>
      <c r="H1539" s="2" t="str">
        <f>IF(A1539="","",MIN('Loan Inputs'!$B$18,MAX(0,C1539+E1539-'Loan Inputs'!$B$17)))</f>
        <v/>
      </c>
    </row>
    <row r="1540" spans="1:8" ht="22" customHeight="1">
      <c r="A1540" s="1" t="str">
        <f>IF(AND('Loan Inputs'!$B$12,1534&lt;=IF('Loan Inputs'!$B$12,'Loan Inputs'!$B$7,0)*'Loan Inputs'!$B$14+5*'Loan Inputs'!$B$14,ISNUMBER(G1539),G1539&gt;0),1534,"")</f>
        <v/>
      </c>
      <c r="B1540" s="4" t="str">
        <f>IF(A1540="","",IF('Loan Inputs'!$B$14=12,DATE(YEAR('Loan Inputs'!$B$8),MONTH('Loan Inputs'!$B$8)+A1540,DAY('Loan Inputs'!$B$8)),'Loan Inputs'!$B$8+A1540*IF('Loan Inputs'!$B$14=26,14,7)))</f>
        <v/>
      </c>
      <c r="C1540" s="2" t="str">
        <f t="shared" si="71"/>
        <v/>
      </c>
      <c r="D1540" s="2" t="str">
        <f>IF(A1540="","",MIN('Loan Inputs'!$B$17,C1540+E1540)+H1540)</f>
        <v/>
      </c>
      <c r="E1540" s="2" t="str">
        <f>IF(A1540="","",C1540*'Loan Inputs'!$B$15)</f>
        <v/>
      </c>
      <c r="F1540" s="2" t="str">
        <f t="shared" si="69"/>
        <v/>
      </c>
      <c r="G1540" s="2" t="str">
        <f t="shared" si="70"/>
        <v/>
      </c>
      <c r="H1540" s="2" t="str">
        <f>IF(A1540="","",MIN('Loan Inputs'!$B$18,MAX(0,C1540+E1540-'Loan Inputs'!$B$17)))</f>
        <v/>
      </c>
    </row>
    <row r="1541" spans="1:8" ht="22" customHeight="1">
      <c r="A1541" s="1" t="str">
        <f>IF(AND('Loan Inputs'!$B$12,1535&lt;=IF('Loan Inputs'!$B$12,'Loan Inputs'!$B$7,0)*'Loan Inputs'!$B$14+5*'Loan Inputs'!$B$14,ISNUMBER(G1540),G1540&gt;0),1535,"")</f>
        <v/>
      </c>
      <c r="B1541" s="4" t="str">
        <f>IF(A1541="","",IF('Loan Inputs'!$B$14=12,DATE(YEAR('Loan Inputs'!$B$8),MONTH('Loan Inputs'!$B$8)+A1541,DAY('Loan Inputs'!$B$8)),'Loan Inputs'!$B$8+A1541*IF('Loan Inputs'!$B$14=26,14,7)))</f>
        <v/>
      </c>
      <c r="C1541" s="2" t="str">
        <f t="shared" si="71"/>
        <v/>
      </c>
      <c r="D1541" s="2" t="str">
        <f>IF(A1541="","",MIN('Loan Inputs'!$B$17,C1541+E1541)+H1541)</f>
        <v/>
      </c>
      <c r="E1541" s="2" t="str">
        <f>IF(A1541="","",C1541*'Loan Inputs'!$B$15)</f>
        <v/>
      </c>
      <c r="F1541" s="2" t="str">
        <f t="shared" si="69"/>
        <v/>
      </c>
      <c r="G1541" s="2" t="str">
        <f t="shared" si="70"/>
        <v/>
      </c>
      <c r="H1541" s="2" t="str">
        <f>IF(A1541="","",MIN('Loan Inputs'!$B$18,MAX(0,C1541+E1541-'Loan Inputs'!$B$17)))</f>
        <v/>
      </c>
    </row>
    <row r="1542" spans="1:8" ht="22" customHeight="1">
      <c r="A1542" s="1" t="str">
        <f>IF(AND('Loan Inputs'!$B$12,1536&lt;=IF('Loan Inputs'!$B$12,'Loan Inputs'!$B$7,0)*'Loan Inputs'!$B$14+5*'Loan Inputs'!$B$14,ISNUMBER(G1541),G1541&gt;0),1536,"")</f>
        <v/>
      </c>
      <c r="B1542" s="4" t="str">
        <f>IF(A1542="","",IF('Loan Inputs'!$B$14=12,DATE(YEAR('Loan Inputs'!$B$8),MONTH('Loan Inputs'!$B$8)+A1542,DAY('Loan Inputs'!$B$8)),'Loan Inputs'!$B$8+A1542*IF('Loan Inputs'!$B$14=26,14,7)))</f>
        <v/>
      </c>
      <c r="C1542" s="2" t="str">
        <f t="shared" si="71"/>
        <v/>
      </c>
      <c r="D1542" s="2" t="str">
        <f>IF(A1542="","",MIN('Loan Inputs'!$B$17,C1542+E1542)+H1542)</f>
        <v/>
      </c>
      <c r="E1542" s="2" t="str">
        <f>IF(A1542="","",C1542*'Loan Inputs'!$B$15)</f>
        <v/>
      </c>
      <c r="F1542" s="2" t="str">
        <f t="shared" si="69"/>
        <v/>
      </c>
      <c r="G1542" s="2" t="str">
        <f t="shared" si="70"/>
        <v/>
      </c>
      <c r="H1542" s="2" t="str">
        <f>IF(A1542="","",MIN('Loan Inputs'!$B$18,MAX(0,C1542+E1542-'Loan Inputs'!$B$17)))</f>
        <v/>
      </c>
    </row>
    <row r="1543" spans="1:8" ht="22" customHeight="1">
      <c r="A1543" s="1" t="str">
        <f>IF(AND('Loan Inputs'!$B$12,1537&lt;=IF('Loan Inputs'!$B$12,'Loan Inputs'!$B$7,0)*'Loan Inputs'!$B$14+5*'Loan Inputs'!$B$14,ISNUMBER(G1542),G1542&gt;0),1537,"")</f>
        <v/>
      </c>
      <c r="B1543" s="4" t="str">
        <f>IF(A1543="","",IF('Loan Inputs'!$B$14=12,DATE(YEAR('Loan Inputs'!$B$8),MONTH('Loan Inputs'!$B$8)+A1543,DAY('Loan Inputs'!$B$8)),'Loan Inputs'!$B$8+A1543*IF('Loan Inputs'!$B$14=26,14,7)))</f>
        <v/>
      </c>
      <c r="C1543" s="2" t="str">
        <f t="shared" si="71"/>
        <v/>
      </c>
      <c r="D1543" s="2" t="str">
        <f>IF(A1543="","",MIN('Loan Inputs'!$B$17,C1543+E1543)+H1543)</f>
        <v/>
      </c>
      <c r="E1543" s="2" t="str">
        <f>IF(A1543="","",C1543*'Loan Inputs'!$B$15)</f>
        <v/>
      </c>
      <c r="F1543" s="2" t="str">
        <f t="shared" ref="F1543:F1606" si="72">IF(A1543="","",MIN(C1543,D1543-E1543))</f>
        <v/>
      </c>
      <c r="G1543" s="2" t="str">
        <f t="shared" ref="G1543:G1606" si="73">IF(A1543="","",IF(C1543-F1543&lt;0.0000001,0,MAX(0,C1543-F1543)))</f>
        <v/>
      </c>
      <c r="H1543" s="2" t="str">
        <f>IF(A1543="","",MIN('Loan Inputs'!$B$18,MAX(0,C1543+E1543-'Loan Inputs'!$B$17)))</f>
        <v/>
      </c>
    </row>
    <row r="1544" spans="1:8" ht="22" customHeight="1">
      <c r="A1544" s="1" t="str">
        <f>IF(AND('Loan Inputs'!$B$12,1538&lt;=IF('Loan Inputs'!$B$12,'Loan Inputs'!$B$7,0)*'Loan Inputs'!$B$14+5*'Loan Inputs'!$B$14,ISNUMBER(G1543),G1543&gt;0),1538,"")</f>
        <v/>
      </c>
      <c r="B1544" s="4" t="str">
        <f>IF(A1544="","",IF('Loan Inputs'!$B$14=12,DATE(YEAR('Loan Inputs'!$B$8),MONTH('Loan Inputs'!$B$8)+A1544,DAY('Loan Inputs'!$B$8)),'Loan Inputs'!$B$8+A1544*IF('Loan Inputs'!$B$14=26,14,7)))</f>
        <v/>
      </c>
      <c r="C1544" s="2" t="str">
        <f t="shared" ref="C1544:C1607" si="74">IF(A1544="","",G1543)</f>
        <v/>
      </c>
      <c r="D1544" s="2" t="str">
        <f>IF(A1544="","",MIN('Loan Inputs'!$B$17,C1544+E1544)+H1544)</f>
        <v/>
      </c>
      <c r="E1544" s="2" t="str">
        <f>IF(A1544="","",C1544*'Loan Inputs'!$B$15)</f>
        <v/>
      </c>
      <c r="F1544" s="2" t="str">
        <f t="shared" si="72"/>
        <v/>
      </c>
      <c r="G1544" s="2" t="str">
        <f t="shared" si="73"/>
        <v/>
      </c>
      <c r="H1544" s="2" t="str">
        <f>IF(A1544="","",MIN('Loan Inputs'!$B$18,MAX(0,C1544+E1544-'Loan Inputs'!$B$17)))</f>
        <v/>
      </c>
    </row>
    <row r="1545" spans="1:8" ht="22" customHeight="1">
      <c r="A1545" s="1" t="str">
        <f>IF(AND('Loan Inputs'!$B$12,1539&lt;=IF('Loan Inputs'!$B$12,'Loan Inputs'!$B$7,0)*'Loan Inputs'!$B$14+5*'Loan Inputs'!$B$14,ISNUMBER(G1544),G1544&gt;0),1539,"")</f>
        <v/>
      </c>
      <c r="B1545" s="4" t="str">
        <f>IF(A1545="","",IF('Loan Inputs'!$B$14=12,DATE(YEAR('Loan Inputs'!$B$8),MONTH('Loan Inputs'!$B$8)+A1545,DAY('Loan Inputs'!$B$8)),'Loan Inputs'!$B$8+A1545*IF('Loan Inputs'!$B$14=26,14,7)))</f>
        <v/>
      </c>
      <c r="C1545" s="2" t="str">
        <f t="shared" si="74"/>
        <v/>
      </c>
      <c r="D1545" s="2" t="str">
        <f>IF(A1545="","",MIN('Loan Inputs'!$B$17,C1545+E1545)+H1545)</f>
        <v/>
      </c>
      <c r="E1545" s="2" t="str">
        <f>IF(A1545="","",C1545*'Loan Inputs'!$B$15)</f>
        <v/>
      </c>
      <c r="F1545" s="2" t="str">
        <f t="shared" si="72"/>
        <v/>
      </c>
      <c r="G1545" s="2" t="str">
        <f t="shared" si="73"/>
        <v/>
      </c>
      <c r="H1545" s="2" t="str">
        <f>IF(A1545="","",MIN('Loan Inputs'!$B$18,MAX(0,C1545+E1545-'Loan Inputs'!$B$17)))</f>
        <v/>
      </c>
    </row>
    <row r="1546" spans="1:8" ht="22" customHeight="1">
      <c r="A1546" s="1" t="str">
        <f>IF(AND('Loan Inputs'!$B$12,1540&lt;=IF('Loan Inputs'!$B$12,'Loan Inputs'!$B$7,0)*'Loan Inputs'!$B$14+5*'Loan Inputs'!$B$14,ISNUMBER(G1545),G1545&gt;0),1540,"")</f>
        <v/>
      </c>
      <c r="B1546" s="4" t="str">
        <f>IF(A1546="","",IF('Loan Inputs'!$B$14=12,DATE(YEAR('Loan Inputs'!$B$8),MONTH('Loan Inputs'!$B$8)+A1546,DAY('Loan Inputs'!$B$8)),'Loan Inputs'!$B$8+A1546*IF('Loan Inputs'!$B$14=26,14,7)))</f>
        <v/>
      </c>
      <c r="C1546" s="2" t="str">
        <f t="shared" si="74"/>
        <v/>
      </c>
      <c r="D1546" s="2" t="str">
        <f>IF(A1546="","",MIN('Loan Inputs'!$B$17,C1546+E1546)+H1546)</f>
        <v/>
      </c>
      <c r="E1546" s="2" t="str">
        <f>IF(A1546="","",C1546*'Loan Inputs'!$B$15)</f>
        <v/>
      </c>
      <c r="F1546" s="2" t="str">
        <f t="shared" si="72"/>
        <v/>
      </c>
      <c r="G1546" s="2" t="str">
        <f t="shared" si="73"/>
        <v/>
      </c>
      <c r="H1546" s="2" t="str">
        <f>IF(A1546="","",MIN('Loan Inputs'!$B$18,MAX(0,C1546+E1546-'Loan Inputs'!$B$17)))</f>
        <v/>
      </c>
    </row>
    <row r="1547" spans="1:8" ht="22" customHeight="1">
      <c r="A1547" s="1" t="str">
        <f>IF(AND('Loan Inputs'!$B$12,1541&lt;=IF('Loan Inputs'!$B$12,'Loan Inputs'!$B$7,0)*'Loan Inputs'!$B$14+5*'Loan Inputs'!$B$14,ISNUMBER(G1546),G1546&gt;0),1541,"")</f>
        <v/>
      </c>
      <c r="B1547" s="4" t="str">
        <f>IF(A1547="","",IF('Loan Inputs'!$B$14=12,DATE(YEAR('Loan Inputs'!$B$8),MONTH('Loan Inputs'!$B$8)+A1547,DAY('Loan Inputs'!$B$8)),'Loan Inputs'!$B$8+A1547*IF('Loan Inputs'!$B$14=26,14,7)))</f>
        <v/>
      </c>
      <c r="C1547" s="2" t="str">
        <f t="shared" si="74"/>
        <v/>
      </c>
      <c r="D1547" s="2" t="str">
        <f>IF(A1547="","",MIN('Loan Inputs'!$B$17,C1547+E1547)+H1547)</f>
        <v/>
      </c>
      <c r="E1547" s="2" t="str">
        <f>IF(A1547="","",C1547*'Loan Inputs'!$B$15)</f>
        <v/>
      </c>
      <c r="F1547" s="2" t="str">
        <f t="shared" si="72"/>
        <v/>
      </c>
      <c r="G1547" s="2" t="str">
        <f t="shared" si="73"/>
        <v/>
      </c>
      <c r="H1547" s="2" t="str">
        <f>IF(A1547="","",MIN('Loan Inputs'!$B$18,MAX(0,C1547+E1547-'Loan Inputs'!$B$17)))</f>
        <v/>
      </c>
    </row>
    <row r="1548" spans="1:8" ht="22" customHeight="1">
      <c r="A1548" s="1" t="str">
        <f>IF(AND('Loan Inputs'!$B$12,1542&lt;=IF('Loan Inputs'!$B$12,'Loan Inputs'!$B$7,0)*'Loan Inputs'!$B$14+5*'Loan Inputs'!$B$14,ISNUMBER(G1547),G1547&gt;0),1542,"")</f>
        <v/>
      </c>
      <c r="B1548" s="4" t="str">
        <f>IF(A1548="","",IF('Loan Inputs'!$B$14=12,DATE(YEAR('Loan Inputs'!$B$8),MONTH('Loan Inputs'!$B$8)+A1548,DAY('Loan Inputs'!$B$8)),'Loan Inputs'!$B$8+A1548*IF('Loan Inputs'!$B$14=26,14,7)))</f>
        <v/>
      </c>
      <c r="C1548" s="2" t="str">
        <f t="shared" si="74"/>
        <v/>
      </c>
      <c r="D1548" s="2" t="str">
        <f>IF(A1548="","",MIN('Loan Inputs'!$B$17,C1548+E1548)+H1548)</f>
        <v/>
      </c>
      <c r="E1548" s="2" t="str">
        <f>IF(A1548="","",C1548*'Loan Inputs'!$B$15)</f>
        <v/>
      </c>
      <c r="F1548" s="2" t="str">
        <f t="shared" si="72"/>
        <v/>
      </c>
      <c r="G1548" s="2" t="str">
        <f t="shared" si="73"/>
        <v/>
      </c>
      <c r="H1548" s="2" t="str">
        <f>IF(A1548="","",MIN('Loan Inputs'!$B$18,MAX(0,C1548+E1548-'Loan Inputs'!$B$17)))</f>
        <v/>
      </c>
    </row>
    <row r="1549" spans="1:8" ht="22" customHeight="1">
      <c r="A1549" s="1" t="str">
        <f>IF(AND('Loan Inputs'!$B$12,1543&lt;=IF('Loan Inputs'!$B$12,'Loan Inputs'!$B$7,0)*'Loan Inputs'!$B$14+5*'Loan Inputs'!$B$14,ISNUMBER(G1548),G1548&gt;0),1543,"")</f>
        <v/>
      </c>
      <c r="B1549" s="4" t="str">
        <f>IF(A1549="","",IF('Loan Inputs'!$B$14=12,DATE(YEAR('Loan Inputs'!$B$8),MONTH('Loan Inputs'!$B$8)+A1549,DAY('Loan Inputs'!$B$8)),'Loan Inputs'!$B$8+A1549*IF('Loan Inputs'!$B$14=26,14,7)))</f>
        <v/>
      </c>
      <c r="C1549" s="2" t="str">
        <f t="shared" si="74"/>
        <v/>
      </c>
      <c r="D1549" s="2" t="str">
        <f>IF(A1549="","",MIN('Loan Inputs'!$B$17,C1549+E1549)+H1549)</f>
        <v/>
      </c>
      <c r="E1549" s="2" t="str">
        <f>IF(A1549="","",C1549*'Loan Inputs'!$B$15)</f>
        <v/>
      </c>
      <c r="F1549" s="2" t="str">
        <f t="shared" si="72"/>
        <v/>
      </c>
      <c r="G1549" s="2" t="str">
        <f t="shared" si="73"/>
        <v/>
      </c>
      <c r="H1549" s="2" t="str">
        <f>IF(A1549="","",MIN('Loan Inputs'!$B$18,MAX(0,C1549+E1549-'Loan Inputs'!$B$17)))</f>
        <v/>
      </c>
    </row>
    <row r="1550" spans="1:8" ht="22" customHeight="1">
      <c r="A1550" s="1" t="str">
        <f>IF(AND('Loan Inputs'!$B$12,1544&lt;=IF('Loan Inputs'!$B$12,'Loan Inputs'!$B$7,0)*'Loan Inputs'!$B$14+5*'Loan Inputs'!$B$14,ISNUMBER(G1549),G1549&gt;0),1544,"")</f>
        <v/>
      </c>
      <c r="B1550" s="4" t="str">
        <f>IF(A1550="","",IF('Loan Inputs'!$B$14=12,DATE(YEAR('Loan Inputs'!$B$8),MONTH('Loan Inputs'!$B$8)+A1550,DAY('Loan Inputs'!$B$8)),'Loan Inputs'!$B$8+A1550*IF('Loan Inputs'!$B$14=26,14,7)))</f>
        <v/>
      </c>
      <c r="C1550" s="2" t="str">
        <f t="shared" si="74"/>
        <v/>
      </c>
      <c r="D1550" s="2" t="str">
        <f>IF(A1550="","",MIN('Loan Inputs'!$B$17,C1550+E1550)+H1550)</f>
        <v/>
      </c>
      <c r="E1550" s="2" t="str">
        <f>IF(A1550="","",C1550*'Loan Inputs'!$B$15)</f>
        <v/>
      </c>
      <c r="F1550" s="2" t="str">
        <f t="shared" si="72"/>
        <v/>
      </c>
      <c r="G1550" s="2" t="str">
        <f t="shared" si="73"/>
        <v/>
      </c>
      <c r="H1550" s="2" t="str">
        <f>IF(A1550="","",MIN('Loan Inputs'!$B$18,MAX(0,C1550+E1550-'Loan Inputs'!$B$17)))</f>
        <v/>
      </c>
    </row>
    <row r="1551" spans="1:8" ht="22" customHeight="1">
      <c r="A1551" s="1" t="str">
        <f>IF(AND('Loan Inputs'!$B$12,1545&lt;=IF('Loan Inputs'!$B$12,'Loan Inputs'!$B$7,0)*'Loan Inputs'!$B$14+5*'Loan Inputs'!$B$14,ISNUMBER(G1550),G1550&gt;0),1545,"")</f>
        <v/>
      </c>
      <c r="B1551" s="4" t="str">
        <f>IF(A1551="","",IF('Loan Inputs'!$B$14=12,DATE(YEAR('Loan Inputs'!$B$8),MONTH('Loan Inputs'!$B$8)+A1551,DAY('Loan Inputs'!$B$8)),'Loan Inputs'!$B$8+A1551*IF('Loan Inputs'!$B$14=26,14,7)))</f>
        <v/>
      </c>
      <c r="C1551" s="2" t="str">
        <f t="shared" si="74"/>
        <v/>
      </c>
      <c r="D1551" s="2" t="str">
        <f>IF(A1551="","",MIN('Loan Inputs'!$B$17,C1551+E1551)+H1551)</f>
        <v/>
      </c>
      <c r="E1551" s="2" t="str">
        <f>IF(A1551="","",C1551*'Loan Inputs'!$B$15)</f>
        <v/>
      </c>
      <c r="F1551" s="2" t="str">
        <f t="shared" si="72"/>
        <v/>
      </c>
      <c r="G1551" s="2" t="str">
        <f t="shared" si="73"/>
        <v/>
      </c>
      <c r="H1551" s="2" t="str">
        <f>IF(A1551="","",MIN('Loan Inputs'!$B$18,MAX(0,C1551+E1551-'Loan Inputs'!$B$17)))</f>
        <v/>
      </c>
    </row>
    <row r="1552" spans="1:8" ht="22" customHeight="1">
      <c r="A1552" s="1" t="str">
        <f>IF(AND('Loan Inputs'!$B$12,1546&lt;=IF('Loan Inputs'!$B$12,'Loan Inputs'!$B$7,0)*'Loan Inputs'!$B$14+5*'Loan Inputs'!$B$14,ISNUMBER(G1551),G1551&gt;0),1546,"")</f>
        <v/>
      </c>
      <c r="B1552" s="4" t="str">
        <f>IF(A1552="","",IF('Loan Inputs'!$B$14=12,DATE(YEAR('Loan Inputs'!$B$8),MONTH('Loan Inputs'!$B$8)+A1552,DAY('Loan Inputs'!$B$8)),'Loan Inputs'!$B$8+A1552*IF('Loan Inputs'!$B$14=26,14,7)))</f>
        <v/>
      </c>
      <c r="C1552" s="2" t="str">
        <f t="shared" si="74"/>
        <v/>
      </c>
      <c r="D1552" s="2" t="str">
        <f>IF(A1552="","",MIN('Loan Inputs'!$B$17,C1552+E1552)+H1552)</f>
        <v/>
      </c>
      <c r="E1552" s="2" t="str">
        <f>IF(A1552="","",C1552*'Loan Inputs'!$B$15)</f>
        <v/>
      </c>
      <c r="F1552" s="2" t="str">
        <f t="shared" si="72"/>
        <v/>
      </c>
      <c r="G1552" s="2" t="str">
        <f t="shared" si="73"/>
        <v/>
      </c>
      <c r="H1552" s="2" t="str">
        <f>IF(A1552="","",MIN('Loan Inputs'!$B$18,MAX(0,C1552+E1552-'Loan Inputs'!$B$17)))</f>
        <v/>
      </c>
    </row>
    <row r="1553" spans="1:8" ht="22" customHeight="1">
      <c r="A1553" s="1" t="str">
        <f>IF(AND('Loan Inputs'!$B$12,1547&lt;=IF('Loan Inputs'!$B$12,'Loan Inputs'!$B$7,0)*'Loan Inputs'!$B$14+5*'Loan Inputs'!$B$14,ISNUMBER(G1552),G1552&gt;0),1547,"")</f>
        <v/>
      </c>
      <c r="B1553" s="4" t="str">
        <f>IF(A1553="","",IF('Loan Inputs'!$B$14=12,DATE(YEAR('Loan Inputs'!$B$8),MONTH('Loan Inputs'!$B$8)+A1553,DAY('Loan Inputs'!$B$8)),'Loan Inputs'!$B$8+A1553*IF('Loan Inputs'!$B$14=26,14,7)))</f>
        <v/>
      </c>
      <c r="C1553" s="2" t="str">
        <f t="shared" si="74"/>
        <v/>
      </c>
      <c r="D1553" s="2" t="str">
        <f>IF(A1553="","",MIN('Loan Inputs'!$B$17,C1553+E1553)+H1553)</f>
        <v/>
      </c>
      <c r="E1553" s="2" t="str">
        <f>IF(A1553="","",C1553*'Loan Inputs'!$B$15)</f>
        <v/>
      </c>
      <c r="F1553" s="2" t="str">
        <f t="shared" si="72"/>
        <v/>
      </c>
      <c r="G1553" s="2" t="str">
        <f t="shared" si="73"/>
        <v/>
      </c>
      <c r="H1553" s="2" t="str">
        <f>IF(A1553="","",MIN('Loan Inputs'!$B$18,MAX(0,C1553+E1553-'Loan Inputs'!$B$17)))</f>
        <v/>
      </c>
    </row>
    <row r="1554" spans="1:8" ht="22" customHeight="1">
      <c r="A1554" s="1" t="str">
        <f>IF(AND('Loan Inputs'!$B$12,1548&lt;=IF('Loan Inputs'!$B$12,'Loan Inputs'!$B$7,0)*'Loan Inputs'!$B$14+5*'Loan Inputs'!$B$14,ISNUMBER(G1553),G1553&gt;0),1548,"")</f>
        <v/>
      </c>
      <c r="B1554" s="4" t="str">
        <f>IF(A1554="","",IF('Loan Inputs'!$B$14=12,DATE(YEAR('Loan Inputs'!$B$8),MONTH('Loan Inputs'!$B$8)+A1554,DAY('Loan Inputs'!$B$8)),'Loan Inputs'!$B$8+A1554*IF('Loan Inputs'!$B$14=26,14,7)))</f>
        <v/>
      </c>
      <c r="C1554" s="2" t="str">
        <f t="shared" si="74"/>
        <v/>
      </c>
      <c r="D1554" s="2" t="str">
        <f>IF(A1554="","",MIN('Loan Inputs'!$B$17,C1554+E1554)+H1554)</f>
        <v/>
      </c>
      <c r="E1554" s="2" t="str">
        <f>IF(A1554="","",C1554*'Loan Inputs'!$B$15)</f>
        <v/>
      </c>
      <c r="F1554" s="2" t="str">
        <f t="shared" si="72"/>
        <v/>
      </c>
      <c r="G1554" s="2" t="str">
        <f t="shared" si="73"/>
        <v/>
      </c>
      <c r="H1554" s="2" t="str">
        <f>IF(A1554="","",MIN('Loan Inputs'!$B$18,MAX(0,C1554+E1554-'Loan Inputs'!$B$17)))</f>
        <v/>
      </c>
    </row>
    <row r="1555" spans="1:8" ht="22" customHeight="1">
      <c r="A1555" s="1" t="str">
        <f>IF(AND('Loan Inputs'!$B$12,1549&lt;=IF('Loan Inputs'!$B$12,'Loan Inputs'!$B$7,0)*'Loan Inputs'!$B$14+5*'Loan Inputs'!$B$14,ISNUMBER(G1554),G1554&gt;0),1549,"")</f>
        <v/>
      </c>
      <c r="B1555" s="4" t="str">
        <f>IF(A1555="","",IF('Loan Inputs'!$B$14=12,DATE(YEAR('Loan Inputs'!$B$8),MONTH('Loan Inputs'!$B$8)+A1555,DAY('Loan Inputs'!$B$8)),'Loan Inputs'!$B$8+A1555*IF('Loan Inputs'!$B$14=26,14,7)))</f>
        <v/>
      </c>
      <c r="C1555" s="2" t="str">
        <f t="shared" si="74"/>
        <v/>
      </c>
      <c r="D1555" s="2" t="str">
        <f>IF(A1555="","",MIN('Loan Inputs'!$B$17,C1555+E1555)+H1555)</f>
        <v/>
      </c>
      <c r="E1555" s="2" t="str">
        <f>IF(A1555="","",C1555*'Loan Inputs'!$B$15)</f>
        <v/>
      </c>
      <c r="F1555" s="2" t="str">
        <f t="shared" si="72"/>
        <v/>
      </c>
      <c r="G1555" s="2" t="str">
        <f t="shared" si="73"/>
        <v/>
      </c>
      <c r="H1555" s="2" t="str">
        <f>IF(A1555="","",MIN('Loan Inputs'!$B$18,MAX(0,C1555+E1555-'Loan Inputs'!$B$17)))</f>
        <v/>
      </c>
    </row>
    <row r="1556" spans="1:8" ht="22" customHeight="1">
      <c r="A1556" s="1" t="str">
        <f>IF(AND('Loan Inputs'!$B$12,1550&lt;=IF('Loan Inputs'!$B$12,'Loan Inputs'!$B$7,0)*'Loan Inputs'!$B$14+5*'Loan Inputs'!$B$14,ISNUMBER(G1555),G1555&gt;0),1550,"")</f>
        <v/>
      </c>
      <c r="B1556" s="4" t="str">
        <f>IF(A1556="","",IF('Loan Inputs'!$B$14=12,DATE(YEAR('Loan Inputs'!$B$8),MONTH('Loan Inputs'!$B$8)+A1556,DAY('Loan Inputs'!$B$8)),'Loan Inputs'!$B$8+A1556*IF('Loan Inputs'!$B$14=26,14,7)))</f>
        <v/>
      </c>
      <c r="C1556" s="2" t="str">
        <f t="shared" si="74"/>
        <v/>
      </c>
      <c r="D1556" s="2" t="str">
        <f>IF(A1556="","",MIN('Loan Inputs'!$B$17,C1556+E1556)+H1556)</f>
        <v/>
      </c>
      <c r="E1556" s="2" t="str">
        <f>IF(A1556="","",C1556*'Loan Inputs'!$B$15)</f>
        <v/>
      </c>
      <c r="F1556" s="2" t="str">
        <f t="shared" si="72"/>
        <v/>
      </c>
      <c r="G1556" s="2" t="str">
        <f t="shared" si="73"/>
        <v/>
      </c>
      <c r="H1556" s="2" t="str">
        <f>IF(A1556="","",MIN('Loan Inputs'!$B$18,MAX(0,C1556+E1556-'Loan Inputs'!$B$17)))</f>
        <v/>
      </c>
    </row>
    <row r="1557" spans="1:8" ht="22" customHeight="1">
      <c r="A1557" s="1" t="str">
        <f>IF(AND('Loan Inputs'!$B$12,1551&lt;=IF('Loan Inputs'!$B$12,'Loan Inputs'!$B$7,0)*'Loan Inputs'!$B$14+5*'Loan Inputs'!$B$14,ISNUMBER(G1556),G1556&gt;0),1551,"")</f>
        <v/>
      </c>
      <c r="B1557" s="4" t="str">
        <f>IF(A1557="","",IF('Loan Inputs'!$B$14=12,DATE(YEAR('Loan Inputs'!$B$8),MONTH('Loan Inputs'!$B$8)+A1557,DAY('Loan Inputs'!$B$8)),'Loan Inputs'!$B$8+A1557*IF('Loan Inputs'!$B$14=26,14,7)))</f>
        <v/>
      </c>
      <c r="C1557" s="2" t="str">
        <f t="shared" si="74"/>
        <v/>
      </c>
      <c r="D1557" s="2" t="str">
        <f>IF(A1557="","",MIN('Loan Inputs'!$B$17,C1557+E1557)+H1557)</f>
        <v/>
      </c>
      <c r="E1557" s="2" t="str">
        <f>IF(A1557="","",C1557*'Loan Inputs'!$B$15)</f>
        <v/>
      </c>
      <c r="F1557" s="2" t="str">
        <f t="shared" si="72"/>
        <v/>
      </c>
      <c r="G1557" s="2" t="str">
        <f t="shared" si="73"/>
        <v/>
      </c>
      <c r="H1557" s="2" t="str">
        <f>IF(A1557="","",MIN('Loan Inputs'!$B$18,MAX(0,C1557+E1557-'Loan Inputs'!$B$17)))</f>
        <v/>
      </c>
    </row>
    <row r="1558" spans="1:8" ht="22" customHeight="1">
      <c r="A1558" s="1" t="str">
        <f>IF(AND('Loan Inputs'!$B$12,1552&lt;=IF('Loan Inputs'!$B$12,'Loan Inputs'!$B$7,0)*'Loan Inputs'!$B$14+5*'Loan Inputs'!$B$14,ISNUMBER(G1557),G1557&gt;0),1552,"")</f>
        <v/>
      </c>
      <c r="B1558" s="4" t="str">
        <f>IF(A1558="","",IF('Loan Inputs'!$B$14=12,DATE(YEAR('Loan Inputs'!$B$8),MONTH('Loan Inputs'!$B$8)+A1558,DAY('Loan Inputs'!$B$8)),'Loan Inputs'!$B$8+A1558*IF('Loan Inputs'!$B$14=26,14,7)))</f>
        <v/>
      </c>
      <c r="C1558" s="2" t="str">
        <f t="shared" si="74"/>
        <v/>
      </c>
      <c r="D1558" s="2" t="str">
        <f>IF(A1558="","",MIN('Loan Inputs'!$B$17,C1558+E1558)+H1558)</f>
        <v/>
      </c>
      <c r="E1558" s="2" t="str">
        <f>IF(A1558="","",C1558*'Loan Inputs'!$B$15)</f>
        <v/>
      </c>
      <c r="F1558" s="2" t="str">
        <f t="shared" si="72"/>
        <v/>
      </c>
      <c r="G1558" s="2" t="str">
        <f t="shared" si="73"/>
        <v/>
      </c>
      <c r="H1558" s="2" t="str">
        <f>IF(A1558="","",MIN('Loan Inputs'!$B$18,MAX(0,C1558+E1558-'Loan Inputs'!$B$17)))</f>
        <v/>
      </c>
    </row>
    <row r="1559" spans="1:8" ht="22" customHeight="1">
      <c r="A1559" s="1" t="str">
        <f>IF(AND('Loan Inputs'!$B$12,1553&lt;=IF('Loan Inputs'!$B$12,'Loan Inputs'!$B$7,0)*'Loan Inputs'!$B$14+5*'Loan Inputs'!$B$14,ISNUMBER(G1558),G1558&gt;0),1553,"")</f>
        <v/>
      </c>
      <c r="B1559" s="4" t="str">
        <f>IF(A1559="","",IF('Loan Inputs'!$B$14=12,DATE(YEAR('Loan Inputs'!$B$8),MONTH('Loan Inputs'!$B$8)+A1559,DAY('Loan Inputs'!$B$8)),'Loan Inputs'!$B$8+A1559*IF('Loan Inputs'!$B$14=26,14,7)))</f>
        <v/>
      </c>
      <c r="C1559" s="2" t="str">
        <f t="shared" si="74"/>
        <v/>
      </c>
      <c r="D1559" s="2" t="str">
        <f>IF(A1559="","",MIN('Loan Inputs'!$B$17,C1559+E1559)+H1559)</f>
        <v/>
      </c>
      <c r="E1559" s="2" t="str">
        <f>IF(A1559="","",C1559*'Loan Inputs'!$B$15)</f>
        <v/>
      </c>
      <c r="F1559" s="2" t="str">
        <f t="shared" si="72"/>
        <v/>
      </c>
      <c r="G1559" s="2" t="str">
        <f t="shared" si="73"/>
        <v/>
      </c>
      <c r="H1559" s="2" t="str">
        <f>IF(A1559="","",MIN('Loan Inputs'!$B$18,MAX(0,C1559+E1559-'Loan Inputs'!$B$17)))</f>
        <v/>
      </c>
    </row>
    <row r="1560" spans="1:8" ht="22" customHeight="1">
      <c r="A1560" s="1" t="str">
        <f>IF(AND('Loan Inputs'!$B$12,1554&lt;=IF('Loan Inputs'!$B$12,'Loan Inputs'!$B$7,0)*'Loan Inputs'!$B$14+5*'Loan Inputs'!$B$14,ISNUMBER(G1559),G1559&gt;0),1554,"")</f>
        <v/>
      </c>
      <c r="B1560" s="4" t="str">
        <f>IF(A1560="","",IF('Loan Inputs'!$B$14=12,DATE(YEAR('Loan Inputs'!$B$8),MONTH('Loan Inputs'!$B$8)+A1560,DAY('Loan Inputs'!$B$8)),'Loan Inputs'!$B$8+A1560*IF('Loan Inputs'!$B$14=26,14,7)))</f>
        <v/>
      </c>
      <c r="C1560" s="2" t="str">
        <f t="shared" si="74"/>
        <v/>
      </c>
      <c r="D1560" s="2" t="str">
        <f>IF(A1560="","",MIN('Loan Inputs'!$B$17,C1560+E1560)+H1560)</f>
        <v/>
      </c>
      <c r="E1560" s="2" t="str">
        <f>IF(A1560="","",C1560*'Loan Inputs'!$B$15)</f>
        <v/>
      </c>
      <c r="F1560" s="2" t="str">
        <f t="shared" si="72"/>
        <v/>
      </c>
      <c r="G1560" s="2" t="str">
        <f t="shared" si="73"/>
        <v/>
      </c>
      <c r="H1560" s="2" t="str">
        <f>IF(A1560="","",MIN('Loan Inputs'!$B$18,MAX(0,C1560+E1560-'Loan Inputs'!$B$17)))</f>
        <v/>
      </c>
    </row>
    <row r="1561" spans="1:8" ht="22" customHeight="1">
      <c r="A1561" s="1" t="str">
        <f>IF(AND('Loan Inputs'!$B$12,1555&lt;=IF('Loan Inputs'!$B$12,'Loan Inputs'!$B$7,0)*'Loan Inputs'!$B$14+5*'Loan Inputs'!$B$14,ISNUMBER(G1560),G1560&gt;0),1555,"")</f>
        <v/>
      </c>
      <c r="B1561" s="4" t="str">
        <f>IF(A1561="","",IF('Loan Inputs'!$B$14=12,DATE(YEAR('Loan Inputs'!$B$8),MONTH('Loan Inputs'!$B$8)+A1561,DAY('Loan Inputs'!$B$8)),'Loan Inputs'!$B$8+A1561*IF('Loan Inputs'!$B$14=26,14,7)))</f>
        <v/>
      </c>
      <c r="C1561" s="2" t="str">
        <f t="shared" si="74"/>
        <v/>
      </c>
      <c r="D1561" s="2" t="str">
        <f>IF(A1561="","",MIN('Loan Inputs'!$B$17,C1561+E1561)+H1561)</f>
        <v/>
      </c>
      <c r="E1561" s="2" t="str">
        <f>IF(A1561="","",C1561*'Loan Inputs'!$B$15)</f>
        <v/>
      </c>
      <c r="F1561" s="2" t="str">
        <f t="shared" si="72"/>
        <v/>
      </c>
      <c r="G1561" s="2" t="str">
        <f t="shared" si="73"/>
        <v/>
      </c>
      <c r="H1561" s="2" t="str">
        <f>IF(A1561="","",MIN('Loan Inputs'!$B$18,MAX(0,C1561+E1561-'Loan Inputs'!$B$17)))</f>
        <v/>
      </c>
    </row>
    <row r="1562" spans="1:8" ht="22" customHeight="1">
      <c r="A1562" s="1" t="str">
        <f>IF(AND('Loan Inputs'!$B$12,1556&lt;=IF('Loan Inputs'!$B$12,'Loan Inputs'!$B$7,0)*'Loan Inputs'!$B$14+5*'Loan Inputs'!$B$14,ISNUMBER(G1561),G1561&gt;0),1556,"")</f>
        <v/>
      </c>
      <c r="B1562" s="4" t="str">
        <f>IF(A1562="","",IF('Loan Inputs'!$B$14=12,DATE(YEAR('Loan Inputs'!$B$8),MONTH('Loan Inputs'!$B$8)+A1562,DAY('Loan Inputs'!$B$8)),'Loan Inputs'!$B$8+A1562*IF('Loan Inputs'!$B$14=26,14,7)))</f>
        <v/>
      </c>
      <c r="C1562" s="2" t="str">
        <f t="shared" si="74"/>
        <v/>
      </c>
      <c r="D1562" s="2" t="str">
        <f>IF(A1562="","",MIN('Loan Inputs'!$B$17,C1562+E1562)+H1562)</f>
        <v/>
      </c>
      <c r="E1562" s="2" t="str">
        <f>IF(A1562="","",C1562*'Loan Inputs'!$B$15)</f>
        <v/>
      </c>
      <c r="F1562" s="2" t="str">
        <f t="shared" si="72"/>
        <v/>
      </c>
      <c r="G1562" s="2" t="str">
        <f t="shared" si="73"/>
        <v/>
      </c>
      <c r="H1562" s="2" t="str">
        <f>IF(A1562="","",MIN('Loan Inputs'!$B$18,MAX(0,C1562+E1562-'Loan Inputs'!$B$17)))</f>
        <v/>
      </c>
    </row>
    <row r="1563" spans="1:8" ht="22" customHeight="1">
      <c r="A1563" s="1" t="str">
        <f>IF(AND('Loan Inputs'!$B$12,1557&lt;=IF('Loan Inputs'!$B$12,'Loan Inputs'!$B$7,0)*'Loan Inputs'!$B$14+5*'Loan Inputs'!$B$14,ISNUMBER(G1562),G1562&gt;0),1557,"")</f>
        <v/>
      </c>
      <c r="B1563" s="4" t="str">
        <f>IF(A1563="","",IF('Loan Inputs'!$B$14=12,DATE(YEAR('Loan Inputs'!$B$8),MONTH('Loan Inputs'!$B$8)+A1563,DAY('Loan Inputs'!$B$8)),'Loan Inputs'!$B$8+A1563*IF('Loan Inputs'!$B$14=26,14,7)))</f>
        <v/>
      </c>
      <c r="C1563" s="2" t="str">
        <f t="shared" si="74"/>
        <v/>
      </c>
      <c r="D1563" s="2" t="str">
        <f>IF(A1563="","",MIN('Loan Inputs'!$B$17,C1563+E1563)+H1563)</f>
        <v/>
      </c>
      <c r="E1563" s="2" t="str">
        <f>IF(A1563="","",C1563*'Loan Inputs'!$B$15)</f>
        <v/>
      </c>
      <c r="F1563" s="2" t="str">
        <f t="shared" si="72"/>
        <v/>
      </c>
      <c r="G1563" s="2" t="str">
        <f t="shared" si="73"/>
        <v/>
      </c>
      <c r="H1563" s="2" t="str">
        <f>IF(A1563="","",MIN('Loan Inputs'!$B$18,MAX(0,C1563+E1563-'Loan Inputs'!$B$17)))</f>
        <v/>
      </c>
    </row>
    <row r="1564" spans="1:8" ht="22" customHeight="1">
      <c r="A1564" s="1" t="str">
        <f>IF(AND('Loan Inputs'!$B$12,1558&lt;=IF('Loan Inputs'!$B$12,'Loan Inputs'!$B$7,0)*'Loan Inputs'!$B$14+5*'Loan Inputs'!$B$14,ISNUMBER(G1563),G1563&gt;0),1558,"")</f>
        <v/>
      </c>
      <c r="B1564" s="4" t="str">
        <f>IF(A1564="","",IF('Loan Inputs'!$B$14=12,DATE(YEAR('Loan Inputs'!$B$8),MONTH('Loan Inputs'!$B$8)+A1564,DAY('Loan Inputs'!$B$8)),'Loan Inputs'!$B$8+A1564*IF('Loan Inputs'!$B$14=26,14,7)))</f>
        <v/>
      </c>
      <c r="C1564" s="2" t="str">
        <f t="shared" si="74"/>
        <v/>
      </c>
      <c r="D1564" s="2" t="str">
        <f>IF(A1564="","",MIN('Loan Inputs'!$B$17,C1564+E1564)+H1564)</f>
        <v/>
      </c>
      <c r="E1564" s="2" t="str">
        <f>IF(A1564="","",C1564*'Loan Inputs'!$B$15)</f>
        <v/>
      </c>
      <c r="F1564" s="2" t="str">
        <f t="shared" si="72"/>
        <v/>
      </c>
      <c r="G1564" s="2" t="str">
        <f t="shared" si="73"/>
        <v/>
      </c>
      <c r="H1564" s="2" t="str">
        <f>IF(A1564="","",MIN('Loan Inputs'!$B$18,MAX(0,C1564+E1564-'Loan Inputs'!$B$17)))</f>
        <v/>
      </c>
    </row>
    <row r="1565" spans="1:8" ht="22" customHeight="1">
      <c r="A1565" s="1" t="str">
        <f>IF(AND('Loan Inputs'!$B$12,1559&lt;=IF('Loan Inputs'!$B$12,'Loan Inputs'!$B$7,0)*'Loan Inputs'!$B$14+5*'Loan Inputs'!$B$14,ISNUMBER(G1564),G1564&gt;0),1559,"")</f>
        <v/>
      </c>
      <c r="B1565" s="4" t="str">
        <f>IF(A1565="","",IF('Loan Inputs'!$B$14=12,DATE(YEAR('Loan Inputs'!$B$8),MONTH('Loan Inputs'!$B$8)+A1565,DAY('Loan Inputs'!$B$8)),'Loan Inputs'!$B$8+A1565*IF('Loan Inputs'!$B$14=26,14,7)))</f>
        <v/>
      </c>
      <c r="C1565" s="2" t="str">
        <f t="shared" si="74"/>
        <v/>
      </c>
      <c r="D1565" s="2" t="str">
        <f>IF(A1565="","",MIN('Loan Inputs'!$B$17,C1565+E1565)+H1565)</f>
        <v/>
      </c>
      <c r="E1565" s="2" t="str">
        <f>IF(A1565="","",C1565*'Loan Inputs'!$B$15)</f>
        <v/>
      </c>
      <c r="F1565" s="2" t="str">
        <f t="shared" si="72"/>
        <v/>
      </c>
      <c r="G1565" s="2" t="str">
        <f t="shared" si="73"/>
        <v/>
      </c>
      <c r="H1565" s="2" t="str">
        <f>IF(A1565="","",MIN('Loan Inputs'!$B$18,MAX(0,C1565+E1565-'Loan Inputs'!$B$17)))</f>
        <v/>
      </c>
    </row>
    <row r="1566" spans="1:8" ht="22" customHeight="1">
      <c r="A1566" s="1" t="str">
        <f>IF(AND('Loan Inputs'!$B$12,1560&lt;=IF('Loan Inputs'!$B$12,'Loan Inputs'!$B$7,0)*'Loan Inputs'!$B$14+5*'Loan Inputs'!$B$14,ISNUMBER(G1565),G1565&gt;0),1560,"")</f>
        <v/>
      </c>
      <c r="B1566" s="4" t="str">
        <f>IF(A1566="","",IF('Loan Inputs'!$B$14=12,DATE(YEAR('Loan Inputs'!$B$8),MONTH('Loan Inputs'!$B$8)+A1566,DAY('Loan Inputs'!$B$8)),'Loan Inputs'!$B$8+A1566*IF('Loan Inputs'!$B$14=26,14,7)))</f>
        <v/>
      </c>
      <c r="C1566" s="2" t="str">
        <f t="shared" si="74"/>
        <v/>
      </c>
      <c r="D1566" s="2" t="str">
        <f>IF(A1566="","",MIN('Loan Inputs'!$B$17,C1566+E1566)+H1566)</f>
        <v/>
      </c>
      <c r="E1566" s="2" t="str">
        <f>IF(A1566="","",C1566*'Loan Inputs'!$B$15)</f>
        <v/>
      </c>
      <c r="F1566" s="2" t="str">
        <f t="shared" si="72"/>
        <v/>
      </c>
      <c r="G1566" s="2" t="str">
        <f t="shared" si="73"/>
        <v/>
      </c>
      <c r="H1566" s="2" t="str">
        <f>IF(A1566="","",MIN('Loan Inputs'!$B$18,MAX(0,C1566+E1566-'Loan Inputs'!$B$17)))</f>
        <v/>
      </c>
    </row>
    <row r="1567" spans="1:8" ht="22" customHeight="1">
      <c r="A1567" s="1" t="str">
        <f>IF(AND('Loan Inputs'!$B$12,1561&lt;=IF('Loan Inputs'!$B$12,'Loan Inputs'!$B$7,0)*'Loan Inputs'!$B$14+5*'Loan Inputs'!$B$14,ISNUMBER(G1566),G1566&gt;0),1561,"")</f>
        <v/>
      </c>
      <c r="B1567" s="4" t="str">
        <f>IF(A1567="","",IF('Loan Inputs'!$B$14=12,DATE(YEAR('Loan Inputs'!$B$8),MONTH('Loan Inputs'!$B$8)+A1567,DAY('Loan Inputs'!$B$8)),'Loan Inputs'!$B$8+A1567*IF('Loan Inputs'!$B$14=26,14,7)))</f>
        <v/>
      </c>
      <c r="C1567" s="2" t="str">
        <f t="shared" si="74"/>
        <v/>
      </c>
      <c r="D1567" s="2" t="str">
        <f>IF(A1567="","",MIN('Loan Inputs'!$B$17,C1567+E1567)+H1567)</f>
        <v/>
      </c>
      <c r="E1567" s="2" t="str">
        <f>IF(A1567="","",C1567*'Loan Inputs'!$B$15)</f>
        <v/>
      </c>
      <c r="F1567" s="2" t="str">
        <f t="shared" si="72"/>
        <v/>
      </c>
      <c r="G1567" s="2" t="str">
        <f t="shared" si="73"/>
        <v/>
      </c>
      <c r="H1567" s="2" t="str">
        <f>IF(A1567="","",MIN('Loan Inputs'!$B$18,MAX(0,C1567+E1567-'Loan Inputs'!$B$17)))</f>
        <v/>
      </c>
    </row>
    <row r="1568" spans="1:8" ht="22" customHeight="1">
      <c r="A1568" s="1" t="str">
        <f>IF(AND('Loan Inputs'!$B$12,1562&lt;=IF('Loan Inputs'!$B$12,'Loan Inputs'!$B$7,0)*'Loan Inputs'!$B$14+5*'Loan Inputs'!$B$14,ISNUMBER(G1567),G1567&gt;0),1562,"")</f>
        <v/>
      </c>
      <c r="B1568" s="4" t="str">
        <f>IF(A1568="","",IF('Loan Inputs'!$B$14=12,DATE(YEAR('Loan Inputs'!$B$8),MONTH('Loan Inputs'!$B$8)+A1568,DAY('Loan Inputs'!$B$8)),'Loan Inputs'!$B$8+A1568*IF('Loan Inputs'!$B$14=26,14,7)))</f>
        <v/>
      </c>
      <c r="C1568" s="2" t="str">
        <f t="shared" si="74"/>
        <v/>
      </c>
      <c r="D1568" s="2" t="str">
        <f>IF(A1568="","",MIN('Loan Inputs'!$B$17,C1568+E1568)+H1568)</f>
        <v/>
      </c>
      <c r="E1568" s="2" t="str">
        <f>IF(A1568="","",C1568*'Loan Inputs'!$B$15)</f>
        <v/>
      </c>
      <c r="F1568" s="2" t="str">
        <f t="shared" si="72"/>
        <v/>
      </c>
      <c r="G1568" s="2" t="str">
        <f t="shared" si="73"/>
        <v/>
      </c>
      <c r="H1568" s="2" t="str">
        <f>IF(A1568="","",MIN('Loan Inputs'!$B$18,MAX(0,C1568+E1568-'Loan Inputs'!$B$17)))</f>
        <v/>
      </c>
    </row>
    <row r="1569" spans="1:8" ht="22" customHeight="1">
      <c r="A1569" s="1" t="str">
        <f>IF(AND('Loan Inputs'!$B$12,1563&lt;=IF('Loan Inputs'!$B$12,'Loan Inputs'!$B$7,0)*'Loan Inputs'!$B$14+5*'Loan Inputs'!$B$14,ISNUMBER(G1568),G1568&gt;0),1563,"")</f>
        <v/>
      </c>
      <c r="B1569" s="4" t="str">
        <f>IF(A1569="","",IF('Loan Inputs'!$B$14=12,DATE(YEAR('Loan Inputs'!$B$8),MONTH('Loan Inputs'!$B$8)+A1569,DAY('Loan Inputs'!$B$8)),'Loan Inputs'!$B$8+A1569*IF('Loan Inputs'!$B$14=26,14,7)))</f>
        <v/>
      </c>
      <c r="C1569" s="2" t="str">
        <f t="shared" si="74"/>
        <v/>
      </c>
      <c r="D1569" s="2" t="str">
        <f>IF(A1569="","",MIN('Loan Inputs'!$B$17,C1569+E1569)+H1569)</f>
        <v/>
      </c>
      <c r="E1569" s="2" t="str">
        <f>IF(A1569="","",C1569*'Loan Inputs'!$B$15)</f>
        <v/>
      </c>
      <c r="F1569" s="2" t="str">
        <f t="shared" si="72"/>
        <v/>
      </c>
      <c r="G1569" s="2" t="str">
        <f t="shared" si="73"/>
        <v/>
      </c>
      <c r="H1569" s="2" t="str">
        <f>IF(A1569="","",MIN('Loan Inputs'!$B$18,MAX(0,C1569+E1569-'Loan Inputs'!$B$17)))</f>
        <v/>
      </c>
    </row>
    <row r="1570" spans="1:8" ht="22" customHeight="1">
      <c r="A1570" s="1" t="str">
        <f>IF(AND('Loan Inputs'!$B$12,1564&lt;=IF('Loan Inputs'!$B$12,'Loan Inputs'!$B$7,0)*'Loan Inputs'!$B$14+5*'Loan Inputs'!$B$14,ISNUMBER(G1569),G1569&gt;0),1564,"")</f>
        <v/>
      </c>
      <c r="B1570" s="4" t="str">
        <f>IF(A1570="","",IF('Loan Inputs'!$B$14=12,DATE(YEAR('Loan Inputs'!$B$8),MONTH('Loan Inputs'!$B$8)+A1570,DAY('Loan Inputs'!$B$8)),'Loan Inputs'!$B$8+A1570*IF('Loan Inputs'!$B$14=26,14,7)))</f>
        <v/>
      </c>
      <c r="C1570" s="2" t="str">
        <f t="shared" si="74"/>
        <v/>
      </c>
      <c r="D1570" s="2" t="str">
        <f>IF(A1570="","",MIN('Loan Inputs'!$B$17,C1570+E1570)+H1570)</f>
        <v/>
      </c>
      <c r="E1570" s="2" t="str">
        <f>IF(A1570="","",C1570*'Loan Inputs'!$B$15)</f>
        <v/>
      </c>
      <c r="F1570" s="2" t="str">
        <f t="shared" si="72"/>
        <v/>
      </c>
      <c r="G1570" s="2" t="str">
        <f t="shared" si="73"/>
        <v/>
      </c>
      <c r="H1570" s="2" t="str">
        <f>IF(A1570="","",MIN('Loan Inputs'!$B$18,MAX(0,C1570+E1570-'Loan Inputs'!$B$17)))</f>
        <v/>
      </c>
    </row>
    <row r="1571" spans="1:8" ht="22" customHeight="1">
      <c r="A1571" s="1" t="str">
        <f>IF(AND('Loan Inputs'!$B$12,1565&lt;=IF('Loan Inputs'!$B$12,'Loan Inputs'!$B$7,0)*'Loan Inputs'!$B$14+5*'Loan Inputs'!$B$14,ISNUMBER(G1570),G1570&gt;0),1565,"")</f>
        <v/>
      </c>
      <c r="B1571" s="4" t="str">
        <f>IF(A1571="","",IF('Loan Inputs'!$B$14=12,DATE(YEAR('Loan Inputs'!$B$8),MONTH('Loan Inputs'!$B$8)+A1571,DAY('Loan Inputs'!$B$8)),'Loan Inputs'!$B$8+A1571*IF('Loan Inputs'!$B$14=26,14,7)))</f>
        <v/>
      </c>
      <c r="C1571" s="2" t="str">
        <f t="shared" si="74"/>
        <v/>
      </c>
      <c r="D1571" s="2" t="str">
        <f>IF(A1571="","",MIN('Loan Inputs'!$B$17,C1571+E1571)+H1571)</f>
        <v/>
      </c>
      <c r="E1571" s="2" t="str">
        <f>IF(A1571="","",C1571*'Loan Inputs'!$B$15)</f>
        <v/>
      </c>
      <c r="F1571" s="2" t="str">
        <f t="shared" si="72"/>
        <v/>
      </c>
      <c r="G1571" s="2" t="str">
        <f t="shared" si="73"/>
        <v/>
      </c>
      <c r="H1571" s="2" t="str">
        <f>IF(A1571="","",MIN('Loan Inputs'!$B$18,MAX(0,C1571+E1571-'Loan Inputs'!$B$17)))</f>
        <v/>
      </c>
    </row>
    <row r="1572" spans="1:8" ht="22" customHeight="1">
      <c r="A1572" s="1" t="str">
        <f>IF(AND('Loan Inputs'!$B$12,1566&lt;=IF('Loan Inputs'!$B$12,'Loan Inputs'!$B$7,0)*'Loan Inputs'!$B$14+5*'Loan Inputs'!$B$14,ISNUMBER(G1571),G1571&gt;0),1566,"")</f>
        <v/>
      </c>
      <c r="B1572" s="4" t="str">
        <f>IF(A1572="","",IF('Loan Inputs'!$B$14=12,DATE(YEAR('Loan Inputs'!$B$8),MONTH('Loan Inputs'!$B$8)+A1572,DAY('Loan Inputs'!$B$8)),'Loan Inputs'!$B$8+A1572*IF('Loan Inputs'!$B$14=26,14,7)))</f>
        <v/>
      </c>
      <c r="C1572" s="2" t="str">
        <f t="shared" si="74"/>
        <v/>
      </c>
      <c r="D1572" s="2" t="str">
        <f>IF(A1572="","",MIN('Loan Inputs'!$B$17,C1572+E1572)+H1572)</f>
        <v/>
      </c>
      <c r="E1572" s="2" t="str">
        <f>IF(A1572="","",C1572*'Loan Inputs'!$B$15)</f>
        <v/>
      </c>
      <c r="F1572" s="2" t="str">
        <f t="shared" si="72"/>
        <v/>
      </c>
      <c r="G1572" s="2" t="str">
        <f t="shared" si="73"/>
        <v/>
      </c>
      <c r="H1572" s="2" t="str">
        <f>IF(A1572="","",MIN('Loan Inputs'!$B$18,MAX(0,C1572+E1572-'Loan Inputs'!$B$17)))</f>
        <v/>
      </c>
    </row>
    <row r="1573" spans="1:8" ht="22" customHeight="1">
      <c r="A1573" s="1" t="str">
        <f>IF(AND('Loan Inputs'!$B$12,1567&lt;=IF('Loan Inputs'!$B$12,'Loan Inputs'!$B$7,0)*'Loan Inputs'!$B$14+5*'Loan Inputs'!$B$14,ISNUMBER(G1572),G1572&gt;0),1567,"")</f>
        <v/>
      </c>
      <c r="B1573" s="4" t="str">
        <f>IF(A1573="","",IF('Loan Inputs'!$B$14=12,DATE(YEAR('Loan Inputs'!$B$8),MONTH('Loan Inputs'!$B$8)+A1573,DAY('Loan Inputs'!$B$8)),'Loan Inputs'!$B$8+A1573*IF('Loan Inputs'!$B$14=26,14,7)))</f>
        <v/>
      </c>
      <c r="C1573" s="2" t="str">
        <f t="shared" si="74"/>
        <v/>
      </c>
      <c r="D1573" s="2" t="str">
        <f>IF(A1573="","",MIN('Loan Inputs'!$B$17,C1573+E1573)+H1573)</f>
        <v/>
      </c>
      <c r="E1573" s="2" t="str">
        <f>IF(A1573="","",C1573*'Loan Inputs'!$B$15)</f>
        <v/>
      </c>
      <c r="F1573" s="2" t="str">
        <f t="shared" si="72"/>
        <v/>
      </c>
      <c r="G1573" s="2" t="str">
        <f t="shared" si="73"/>
        <v/>
      </c>
      <c r="H1573" s="2" t="str">
        <f>IF(A1573="","",MIN('Loan Inputs'!$B$18,MAX(0,C1573+E1573-'Loan Inputs'!$B$17)))</f>
        <v/>
      </c>
    </row>
    <row r="1574" spans="1:8" ht="22" customHeight="1">
      <c r="A1574" s="1" t="str">
        <f>IF(AND('Loan Inputs'!$B$12,1568&lt;=IF('Loan Inputs'!$B$12,'Loan Inputs'!$B$7,0)*'Loan Inputs'!$B$14+5*'Loan Inputs'!$B$14,ISNUMBER(G1573),G1573&gt;0),1568,"")</f>
        <v/>
      </c>
      <c r="B1574" s="4" t="str">
        <f>IF(A1574="","",IF('Loan Inputs'!$B$14=12,DATE(YEAR('Loan Inputs'!$B$8),MONTH('Loan Inputs'!$B$8)+A1574,DAY('Loan Inputs'!$B$8)),'Loan Inputs'!$B$8+A1574*IF('Loan Inputs'!$B$14=26,14,7)))</f>
        <v/>
      </c>
      <c r="C1574" s="2" t="str">
        <f t="shared" si="74"/>
        <v/>
      </c>
      <c r="D1574" s="2" t="str">
        <f>IF(A1574="","",MIN('Loan Inputs'!$B$17,C1574+E1574)+H1574)</f>
        <v/>
      </c>
      <c r="E1574" s="2" t="str">
        <f>IF(A1574="","",C1574*'Loan Inputs'!$B$15)</f>
        <v/>
      </c>
      <c r="F1574" s="2" t="str">
        <f t="shared" si="72"/>
        <v/>
      </c>
      <c r="G1574" s="2" t="str">
        <f t="shared" si="73"/>
        <v/>
      </c>
      <c r="H1574" s="2" t="str">
        <f>IF(A1574="","",MIN('Loan Inputs'!$B$18,MAX(0,C1574+E1574-'Loan Inputs'!$B$17)))</f>
        <v/>
      </c>
    </row>
    <row r="1575" spans="1:8" ht="22" customHeight="1">
      <c r="A1575" s="1" t="str">
        <f>IF(AND('Loan Inputs'!$B$12,1569&lt;=IF('Loan Inputs'!$B$12,'Loan Inputs'!$B$7,0)*'Loan Inputs'!$B$14+5*'Loan Inputs'!$B$14,ISNUMBER(G1574),G1574&gt;0),1569,"")</f>
        <v/>
      </c>
      <c r="B1575" s="4" t="str">
        <f>IF(A1575="","",IF('Loan Inputs'!$B$14=12,DATE(YEAR('Loan Inputs'!$B$8),MONTH('Loan Inputs'!$B$8)+A1575,DAY('Loan Inputs'!$B$8)),'Loan Inputs'!$B$8+A1575*IF('Loan Inputs'!$B$14=26,14,7)))</f>
        <v/>
      </c>
      <c r="C1575" s="2" t="str">
        <f t="shared" si="74"/>
        <v/>
      </c>
      <c r="D1575" s="2" t="str">
        <f>IF(A1575="","",MIN('Loan Inputs'!$B$17,C1575+E1575)+H1575)</f>
        <v/>
      </c>
      <c r="E1575" s="2" t="str">
        <f>IF(A1575="","",C1575*'Loan Inputs'!$B$15)</f>
        <v/>
      </c>
      <c r="F1575" s="2" t="str">
        <f t="shared" si="72"/>
        <v/>
      </c>
      <c r="G1575" s="2" t="str">
        <f t="shared" si="73"/>
        <v/>
      </c>
      <c r="H1575" s="2" t="str">
        <f>IF(A1575="","",MIN('Loan Inputs'!$B$18,MAX(0,C1575+E1575-'Loan Inputs'!$B$17)))</f>
        <v/>
      </c>
    </row>
    <row r="1576" spans="1:8" ht="22" customHeight="1">
      <c r="A1576" s="1" t="str">
        <f>IF(AND('Loan Inputs'!$B$12,1570&lt;=IF('Loan Inputs'!$B$12,'Loan Inputs'!$B$7,0)*'Loan Inputs'!$B$14+5*'Loan Inputs'!$B$14,ISNUMBER(G1575),G1575&gt;0),1570,"")</f>
        <v/>
      </c>
      <c r="B1576" s="4" t="str">
        <f>IF(A1576="","",IF('Loan Inputs'!$B$14=12,DATE(YEAR('Loan Inputs'!$B$8),MONTH('Loan Inputs'!$B$8)+A1576,DAY('Loan Inputs'!$B$8)),'Loan Inputs'!$B$8+A1576*IF('Loan Inputs'!$B$14=26,14,7)))</f>
        <v/>
      </c>
      <c r="C1576" s="2" t="str">
        <f t="shared" si="74"/>
        <v/>
      </c>
      <c r="D1576" s="2" t="str">
        <f>IF(A1576="","",MIN('Loan Inputs'!$B$17,C1576+E1576)+H1576)</f>
        <v/>
      </c>
      <c r="E1576" s="2" t="str">
        <f>IF(A1576="","",C1576*'Loan Inputs'!$B$15)</f>
        <v/>
      </c>
      <c r="F1576" s="2" t="str">
        <f t="shared" si="72"/>
        <v/>
      </c>
      <c r="G1576" s="2" t="str">
        <f t="shared" si="73"/>
        <v/>
      </c>
      <c r="H1576" s="2" t="str">
        <f>IF(A1576="","",MIN('Loan Inputs'!$B$18,MAX(0,C1576+E1576-'Loan Inputs'!$B$17)))</f>
        <v/>
      </c>
    </row>
    <row r="1577" spans="1:8" ht="22" customHeight="1">
      <c r="A1577" s="1" t="str">
        <f>IF(AND('Loan Inputs'!$B$12,1571&lt;=IF('Loan Inputs'!$B$12,'Loan Inputs'!$B$7,0)*'Loan Inputs'!$B$14+5*'Loan Inputs'!$B$14,ISNUMBER(G1576),G1576&gt;0),1571,"")</f>
        <v/>
      </c>
      <c r="B1577" s="4" t="str">
        <f>IF(A1577="","",IF('Loan Inputs'!$B$14=12,DATE(YEAR('Loan Inputs'!$B$8),MONTH('Loan Inputs'!$B$8)+A1577,DAY('Loan Inputs'!$B$8)),'Loan Inputs'!$B$8+A1577*IF('Loan Inputs'!$B$14=26,14,7)))</f>
        <v/>
      </c>
      <c r="C1577" s="2" t="str">
        <f t="shared" si="74"/>
        <v/>
      </c>
      <c r="D1577" s="2" t="str">
        <f>IF(A1577="","",MIN('Loan Inputs'!$B$17,C1577+E1577)+H1577)</f>
        <v/>
      </c>
      <c r="E1577" s="2" t="str">
        <f>IF(A1577="","",C1577*'Loan Inputs'!$B$15)</f>
        <v/>
      </c>
      <c r="F1577" s="2" t="str">
        <f t="shared" si="72"/>
        <v/>
      </c>
      <c r="G1577" s="2" t="str">
        <f t="shared" si="73"/>
        <v/>
      </c>
      <c r="H1577" s="2" t="str">
        <f>IF(A1577="","",MIN('Loan Inputs'!$B$18,MAX(0,C1577+E1577-'Loan Inputs'!$B$17)))</f>
        <v/>
      </c>
    </row>
    <row r="1578" spans="1:8" ht="22" customHeight="1">
      <c r="A1578" s="1" t="str">
        <f>IF(AND('Loan Inputs'!$B$12,1572&lt;=IF('Loan Inputs'!$B$12,'Loan Inputs'!$B$7,0)*'Loan Inputs'!$B$14+5*'Loan Inputs'!$B$14,ISNUMBER(G1577),G1577&gt;0),1572,"")</f>
        <v/>
      </c>
      <c r="B1578" s="4" t="str">
        <f>IF(A1578="","",IF('Loan Inputs'!$B$14=12,DATE(YEAR('Loan Inputs'!$B$8),MONTH('Loan Inputs'!$B$8)+A1578,DAY('Loan Inputs'!$B$8)),'Loan Inputs'!$B$8+A1578*IF('Loan Inputs'!$B$14=26,14,7)))</f>
        <v/>
      </c>
      <c r="C1578" s="2" t="str">
        <f t="shared" si="74"/>
        <v/>
      </c>
      <c r="D1578" s="2" t="str">
        <f>IF(A1578="","",MIN('Loan Inputs'!$B$17,C1578+E1578)+H1578)</f>
        <v/>
      </c>
      <c r="E1578" s="2" t="str">
        <f>IF(A1578="","",C1578*'Loan Inputs'!$B$15)</f>
        <v/>
      </c>
      <c r="F1578" s="2" t="str">
        <f t="shared" si="72"/>
        <v/>
      </c>
      <c r="G1578" s="2" t="str">
        <f t="shared" si="73"/>
        <v/>
      </c>
      <c r="H1578" s="2" t="str">
        <f>IF(A1578="","",MIN('Loan Inputs'!$B$18,MAX(0,C1578+E1578-'Loan Inputs'!$B$17)))</f>
        <v/>
      </c>
    </row>
    <row r="1579" spans="1:8" ht="22" customHeight="1">
      <c r="A1579" s="1" t="str">
        <f>IF(AND('Loan Inputs'!$B$12,1573&lt;=IF('Loan Inputs'!$B$12,'Loan Inputs'!$B$7,0)*'Loan Inputs'!$B$14+5*'Loan Inputs'!$B$14,ISNUMBER(G1578),G1578&gt;0),1573,"")</f>
        <v/>
      </c>
      <c r="B1579" s="4" t="str">
        <f>IF(A1579="","",IF('Loan Inputs'!$B$14=12,DATE(YEAR('Loan Inputs'!$B$8),MONTH('Loan Inputs'!$B$8)+A1579,DAY('Loan Inputs'!$B$8)),'Loan Inputs'!$B$8+A1579*IF('Loan Inputs'!$B$14=26,14,7)))</f>
        <v/>
      </c>
      <c r="C1579" s="2" t="str">
        <f t="shared" si="74"/>
        <v/>
      </c>
      <c r="D1579" s="2" t="str">
        <f>IF(A1579="","",MIN('Loan Inputs'!$B$17,C1579+E1579)+H1579)</f>
        <v/>
      </c>
      <c r="E1579" s="2" t="str">
        <f>IF(A1579="","",C1579*'Loan Inputs'!$B$15)</f>
        <v/>
      </c>
      <c r="F1579" s="2" t="str">
        <f t="shared" si="72"/>
        <v/>
      </c>
      <c r="G1579" s="2" t="str">
        <f t="shared" si="73"/>
        <v/>
      </c>
      <c r="H1579" s="2" t="str">
        <f>IF(A1579="","",MIN('Loan Inputs'!$B$18,MAX(0,C1579+E1579-'Loan Inputs'!$B$17)))</f>
        <v/>
      </c>
    </row>
    <row r="1580" spans="1:8" ht="22" customHeight="1">
      <c r="A1580" s="1" t="str">
        <f>IF(AND('Loan Inputs'!$B$12,1574&lt;=IF('Loan Inputs'!$B$12,'Loan Inputs'!$B$7,0)*'Loan Inputs'!$B$14+5*'Loan Inputs'!$B$14,ISNUMBER(G1579),G1579&gt;0),1574,"")</f>
        <v/>
      </c>
      <c r="B1580" s="4" t="str">
        <f>IF(A1580="","",IF('Loan Inputs'!$B$14=12,DATE(YEAR('Loan Inputs'!$B$8),MONTH('Loan Inputs'!$B$8)+A1580,DAY('Loan Inputs'!$B$8)),'Loan Inputs'!$B$8+A1580*IF('Loan Inputs'!$B$14=26,14,7)))</f>
        <v/>
      </c>
      <c r="C1580" s="2" t="str">
        <f t="shared" si="74"/>
        <v/>
      </c>
      <c r="D1580" s="2" t="str">
        <f>IF(A1580="","",MIN('Loan Inputs'!$B$17,C1580+E1580)+H1580)</f>
        <v/>
      </c>
      <c r="E1580" s="2" t="str">
        <f>IF(A1580="","",C1580*'Loan Inputs'!$B$15)</f>
        <v/>
      </c>
      <c r="F1580" s="2" t="str">
        <f t="shared" si="72"/>
        <v/>
      </c>
      <c r="G1580" s="2" t="str">
        <f t="shared" si="73"/>
        <v/>
      </c>
      <c r="H1580" s="2" t="str">
        <f>IF(A1580="","",MIN('Loan Inputs'!$B$18,MAX(0,C1580+E1580-'Loan Inputs'!$B$17)))</f>
        <v/>
      </c>
    </row>
    <row r="1581" spans="1:8" ht="22" customHeight="1">
      <c r="A1581" s="1" t="str">
        <f>IF(AND('Loan Inputs'!$B$12,1575&lt;=IF('Loan Inputs'!$B$12,'Loan Inputs'!$B$7,0)*'Loan Inputs'!$B$14+5*'Loan Inputs'!$B$14,ISNUMBER(G1580),G1580&gt;0),1575,"")</f>
        <v/>
      </c>
      <c r="B1581" s="4" t="str">
        <f>IF(A1581="","",IF('Loan Inputs'!$B$14=12,DATE(YEAR('Loan Inputs'!$B$8),MONTH('Loan Inputs'!$B$8)+A1581,DAY('Loan Inputs'!$B$8)),'Loan Inputs'!$B$8+A1581*IF('Loan Inputs'!$B$14=26,14,7)))</f>
        <v/>
      </c>
      <c r="C1581" s="2" t="str">
        <f t="shared" si="74"/>
        <v/>
      </c>
      <c r="D1581" s="2" t="str">
        <f>IF(A1581="","",MIN('Loan Inputs'!$B$17,C1581+E1581)+H1581)</f>
        <v/>
      </c>
      <c r="E1581" s="2" t="str">
        <f>IF(A1581="","",C1581*'Loan Inputs'!$B$15)</f>
        <v/>
      </c>
      <c r="F1581" s="2" t="str">
        <f t="shared" si="72"/>
        <v/>
      </c>
      <c r="G1581" s="2" t="str">
        <f t="shared" si="73"/>
        <v/>
      </c>
      <c r="H1581" s="2" t="str">
        <f>IF(A1581="","",MIN('Loan Inputs'!$B$18,MAX(0,C1581+E1581-'Loan Inputs'!$B$17)))</f>
        <v/>
      </c>
    </row>
    <row r="1582" spans="1:8" ht="22" customHeight="1">
      <c r="A1582" s="1" t="str">
        <f>IF(AND('Loan Inputs'!$B$12,1576&lt;=IF('Loan Inputs'!$B$12,'Loan Inputs'!$B$7,0)*'Loan Inputs'!$B$14+5*'Loan Inputs'!$B$14,ISNUMBER(G1581),G1581&gt;0),1576,"")</f>
        <v/>
      </c>
      <c r="B1582" s="4" t="str">
        <f>IF(A1582="","",IF('Loan Inputs'!$B$14=12,DATE(YEAR('Loan Inputs'!$B$8),MONTH('Loan Inputs'!$B$8)+A1582,DAY('Loan Inputs'!$B$8)),'Loan Inputs'!$B$8+A1582*IF('Loan Inputs'!$B$14=26,14,7)))</f>
        <v/>
      </c>
      <c r="C1582" s="2" t="str">
        <f t="shared" si="74"/>
        <v/>
      </c>
      <c r="D1582" s="2" t="str">
        <f>IF(A1582="","",MIN('Loan Inputs'!$B$17,C1582+E1582)+H1582)</f>
        <v/>
      </c>
      <c r="E1582" s="2" t="str">
        <f>IF(A1582="","",C1582*'Loan Inputs'!$B$15)</f>
        <v/>
      </c>
      <c r="F1582" s="2" t="str">
        <f t="shared" si="72"/>
        <v/>
      </c>
      <c r="G1582" s="2" t="str">
        <f t="shared" si="73"/>
        <v/>
      </c>
      <c r="H1582" s="2" t="str">
        <f>IF(A1582="","",MIN('Loan Inputs'!$B$18,MAX(0,C1582+E1582-'Loan Inputs'!$B$17)))</f>
        <v/>
      </c>
    </row>
    <row r="1583" spans="1:8" ht="22" customHeight="1">
      <c r="A1583" s="1" t="str">
        <f>IF(AND('Loan Inputs'!$B$12,1577&lt;=IF('Loan Inputs'!$B$12,'Loan Inputs'!$B$7,0)*'Loan Inputs'!$B$14+5*'Loan Inputs'!$B$14,ISNUMBER(G1582),G1582&gt;0),1577,"")</f>
        <v/>
      </c>
      <c r="B1583" s="4" t="str">
        <f>IF(A1583="","",IF('Loan Inputs'!$B$14=12,DATE(YEAR('Loan Inputs'!$B$8),MONTH('Loan Inputs'!$B$8)+A1583,DAY('Loan Inputs'!$B$8)),'Loan Inputs'!$B$8+A1583*IF('Loan Inputs'!$B$14=26,14,7)))</f>
        <v/>
      </c>
      <c r="C1583" s="2" t="str">
        <f t="shared" si="74"/>
        <v/>
      </c>
      <c r="D1583" s="2" t="str">
        <f>IF(A1583="","",MIN('Loan Inputs'!$B$17,C1583+E1583)+H1583)</f>
        <v/>
      </c>
      <c r="E1583" s="2" t="str">
        <f>IF(A1583="","",C1583*'Loan Inputs'!$B$15)</f>
        <v/>
      </c>
      <c r="F1583" s="2" t="str">
        <f t="shared" si="72"/>
        <v/>
      </c>
      <c r="G1583" s="2" t="str">
        <f t="shared" si="73"/>
        <v/>
      </c>
      <c r="H1583" s="2" t="str">
        <f>IF(A1583="","",MIN('Loan Inputs'!$B$18,MAX(0,C1583+E1583-'Loan Inputs'!$B$17)))</f>
        <v/>
      </c>
    </row>
    <row r="1584" spans="1:8" ht="22" customHeight="1">
      <c r="A1584" s="1" t="str">
        <f>IF(AND('Loan Inputs'!$B$12,1578&lt;=IF('Loan Inputs'!$B$12,'Loan Inputs'!$B$7,0)*'Loan Inputs'!$B$14+5*'Loan Inputs'!$B$14,ISNUMBER(G1583),G1583&gt;0),1578,"")</f>
        <v/>
      </c>
      <c r="B1584" s="4" t="str">
        <f>IF(A1584="","",IF('Loan Inputs'!$B$14=12,DATE(YEAR('Loan Inputs'!$B$8),MONTH('Loan Inputs'!$B$8)+A1584,DAY('Loan Inputs'!$B$8)),'Loan Inputs'!$B$8+A1584*IF('Loan Inputs'!$B$14=26,14,7)))</f>
        <v/>
      </c>
      <c r="C1584" s="2" t="str">
        <f t="shared" si="74"/>
        <v/>
      </c>
      <c r="D1584" s="2" t="str">
        <f>IF(A1584="","",MIN('Loan Inputs'!$B$17,C1584+E1584)+H1584)</f>
        <v/>
      </c>
      <c r="E1584" s="2" t="str">
        <f>IF(A1584="","",C1584*'Loan Inputs'!$B$15)</f>
        <v/>
      </c>
      <c r="F1584" s="2" t="str">
        <f t="shared" si="72"/>
        <v/>
      </c>
      <c r="G1584" s="2" t="str">
        <f t="shared" si="73"/>
        <v/>
      </c>
      <c r="H1584" s="2" t="str">
        <f>IF(A1584="","",MIN('Loan Inputs'!$B$18,MAX(0,C1584+E1584-'Loan Inputs'!$B$17)))</f>
        <v/>
      </c>
    </row>
    <row r="1585" spans="1:8" ht="22" customHeight="1">
      <c r="A1585" s="1" t="str">
        <f>IF(AND('Loan Inputs'!$B$12,1579&lt;=IF('Loan Inputs'!$B$12,'Loan Inputs'!$B$7,0)*'Loan Inputs'!$B$14+5*'Loan Inputs'!$B$14,ISNUMBER(G1584),G1584&gt;0),1579,"")</f>
        <v/>
      </c>
      <c r="B1585" s="4" t="str">
        <f>IF(A1585="","",IF('Loan Inputs'!$B$14=12,DATE(YEAR('Loan Inputs'!$B$8),MONTH('Loan Inputs'!$B$8)+A1585,DAY('Loan Inputs'!$B$8)),'Loan Inputs'!$B$8+A1585*IF('Loan Inputs'!$B$14=26,14,7)))</f>
        <v/>
      </c>
      <c r="C1585" s="2" t="str">
        <f t="shared" si="74"/>
        <v/>
      </c>
      <c r="D1585" s="2" t="str">
        <f>IF(A1585="","",MIN('Loan Inputs'!$B$17,C1585+E1585)+H1585)</f>
        <v/>
      </c>
      <c r="E1585" s="2" t="str">
        <f>IF(A1585="","",C1585*'Loan Inputs'!$B$15)</f>
        <v/>
      </c>
      <c r="F1585" s="2" t="str">
        <f t="shared" si="72"/>
        <v/>
      </c>
      <c r="G1585" s="2" t="str">
        <f t="shared" si="73"/>
        <v/>
      </c>
      <c r="H1585" s="2" t="str">
        <f>IF(A1585="","",MIN('Loan Inputs'!$B$18,MAX(0,C1585+E1585-'Loan Inputs'!$B$17)))</f>
        <v/>
      </c>
    </row>
    <row r="1586" spans="1:8" ht="22" customHeight="1">
      <c r="A1586" s="1" t="str">
        <f>IF(AND('Loan Inputs'!$B$12,1580&lt;=IF('Loan Inputs'!$B$12,'Loan Inputs'!$B$7,0)*'Loan Inputs'!$B$14+5*'Loan Inputs'!$B$14,ISNUMBER(G1585),G1585&gt;0),1580,"")</f>
        <v/>
      </c>
      <c r="B1586" s="4" t="str">
        <f>IF(A1586="","",IF('Loan Inputs'!$B$14=12,DATE(YEAR('Loan Inputs'!$B$8),MONTH('Loan Inputs'!$B$8)+A1586,DAY('Loan Inputs'!$B$8)),'Loan Inputs'!$B$8+A1586*IF('Loan Inputs'!$B$14=26,14,7)))</f>
        <v/>
      </c>
      <c r="C1586" s="2" t="str">
        <f t="shared" si="74"/>
        <v/>
      </c>
      <c r="D1586" s="2" t="str">
        <f>IF(A1586="","",MIN('Loan Inputs'!$B$17,C1586+E1586)+H1586)</f>
        <v/>
      </c>
      <c r="E1586" s="2" t="str">
        <f>IF(A1586="","",C1586*'Loan Inputs'!$B$15)</f>
        <v/>
      </c>
      <c r="F1586" s="2" t="str">
        <f t="shared" si="72"/>
        <v/>
      </c>
      <c r="G1586" s="2" t="str">
        <f t="shared" si="73"/>
        <v/>
      </c>
      <c r="H1586" s="2" t="str">
        <f>IF(A1586="","",MIN('Loan Inputs'!$B$18,MAX(0,C1586+E1586-'Loan Inputs'!$B$17)))</f>
        <v/>
      </c>
    </row>
    <row r="1587" spans="1:8" ht="22" customHeight="1">
      <c r="A1587" s="1" t="str">
        <f>IF(AND('Loan Inputs'!$B$12,1581&lt;=IF('Loan Inputs'!$B$12,'Loan Inputs'!$B$7,0)*'Loan Inputs'!$B$14+5*'Loan Inputs'!$B$14,ISNUMBER(G1586),G1586&gt;0),1581,"")</f>
        <v/>
      </c>
      <c r="B1587" s="4" t="str">
        <f>IF(A1587="","",IF('Loan Inputs'!$B$14=12,DATE(YEAR('Loan Inputs'!$B$8),MONTH('Loan Inputs'!$B$8)+A1587,DAY('Loan Inputs'!$B$8)),'Loan Inputs'!$B$8+A1587*IF('Loan Inputs'!$B$14=26,14,7)))</f>
        <v/>
      </c>
      <c r="C1587" s="2" t="str">
        <f t="shared" si="74"/>
        <v/>
      </c>
      <c r="D1587" s="2" t="str">
        <f>IF(A1587="","",MIN('Loan Inputs'!$B$17,C1587+E1587)+H1587)</f>
        <v/>
      </c>
      <c r="E1587" s="2" t="str">
        <f>IF(A1587="","",C1587*'Loan Inputs'!$B$15)</f>
        <v/>
      </c>
      <c r="F1587" s="2" t="str">
        <f t="shared" si="72"/>
        <v/>
      </c>
      <c r="G1587" s="2" t="str">
        <f t="shared" si="73"/>
        <v/>
      </c>
      <c r="H1587" s="2" t="str">
        <f>IF(A1587="","",MIN('Loan Inputs'!$B$18,MAX(0,C1587+E1587-'Loan Inputs'!$B$17)))</f>
        <v/>
      </c>
    </row>
    <row r="1588" spans="1:8" ht="22" customHeight="1">
      <c r="A1588" s="1" t="str">
        <f>IF(AND('Loan Inputs'!$B$12,1582&lt;=IF('Loan Inputs'!$B$12,'Loan Inputs'!$B$7,0)*'Loan Inputs'!$B$14+5*'Loan Inputs'!$B$14,ISNUMBER(G1587),G1587&gt;0),1582,"")</f>
        <v/>
      </c>
      <c r="B1588" s="4" t="str">
        <f>IF(A1588="","",IF('Loan Inputs'!$B$14=12,DATE(YEAR('Loan Inputs'!$B$8),MONTH('Loan Inputs'!$B$8)+A1588,DAY('Loan Inputs'!$B$8)),'Loan Inputs'!$B$8+A1588*IF('Loan Inputs'!$B$14=26,14,7)))</f>
        <v/>
      </c>
      <c r="C1588" s="2" t="str">
        <f t="shared" si="74"/>
        <v/>
      </c>
      <c r="D1588" s="2" t="str">
        <f>IF(A1588="","",MIN('Loan Inputs'!$B$17,C1588+E1588)+H1588)</f>
        <v/>
      </c>
      <c r="E1588" s="2" t="str">
        <f>IF(A1588="","",C1588*'Loan Inputs'!$B$15)</f>
        <v/>
      </c>
      <c r="F1588" s="2" t="str">
        <f t="shared" si="72"/>
        <v/>
      </c>
      <c r="G1588" s="2" t="str">
        <f t="shared" si="73"/>
        <v/>
      </c>
      <c r="H1588" s="2" t="str">
        <f>IF(A1588="","",MIN('Loan Inputs'!$B$18,MAX(0,C1588+E1588-'Loan Inputs'!$B$17)))</f>
        <v/>
      </c>
    </row>
    <row r="1589" spans="1:8" ht="22" customHeight="1">
      <c r="A1589" s="1" t="str">
        <f>IF(AND('Loan Inputs'!$B$12,1583&lt;=IF('Loan Inputs'!$B$12,'Loan Inputs'!$B$7,0)*'Loan Inputs'!$B$14+5*'Loan Inputs'!$B$14,ISNUMBER(G1588),G1588&gt;0),1583,"")</f>
        <v/>
      </c>
      <c r="B1589" s="4" t="str">
        <f>IF(A1589="","",IF('Loan Inputs'!$B$14=12,DATE(YEAR('Loan Inputs'!$B$8),MONTH('Loan Inputs'!$B$8)+A1589,DAY('Loan Inputs'!$B$8)),'Loan Inputs'!$B$8+A1589*IF('Loan Inputs'!$B$14=26,14,7)))</f>
        <v/>
      </c>
      <c r="C1589" s="2" t="str">
        <f t="shared" si="74"/>
        <v/>
      </c>
      <c r="D1589" s="2" t="str">
        <f>IF(A1589="","",MIN('Loan Inputs'!$B$17,C1589+E1589)+H1589)</f>
        <v/>
      </c>
      <c r="E1589" s="2" t="str">
        <f>IF(A1589="","",C1589*'Loan Inputs'!$B$15)</f>
        <v/>
      </c>
      <c r="F1589" s="2" t="str">
        <f t="shared" si="72"/>
        <v/>
      </c>
      <c r="G1589" s="2" t="str">
        <f t="shared" si="73"/>
        <v/>
      </c>
      <c r="H1589" s="2" t="str">
        <f>IF(A1589="","",MIN('Loan Inputs'!$B$18,MAX(0,C1589+E1589-'Loan Inputs'!$B$17)))</f>
        <v/>
      </c>
    </row>
    <row r="1590" spans="1:8" ht="22" customHeight="1">
      <c r="A1590" s="1" t="str">
        <f>IF(AND('Loan Inputs'!$B$12,1584&lt;=IF('Loan Inputs'!$B$12,'Loan Inputs'!$B$7,0)*'Loan Inputs'!$B$14+5*'Loan Inputs'!$B$14,ISNUMBER(G1589),G1589&gt;0),1584,"")</f>
        <v/>
      </c>
      <c r="B1590" s="4" t="str">
        <f>IF(A1590="","",IF('Loan Inputs'!$B$14=12,DATE(YEAR('Loan Inputs'!$B$8),MONTH('Loan Inputs'!$B$8)+A1590,DAY('Loan Inputs'!$B$8)),'Loan Inputs'!$B$8+A1590*IF('Loan Inputs'!$B$14=26,14,7)))</f>
        <v/>
      </c>
      <c r="C1590" s="2" t="str">
        <f t="shared" si="74"/>
        <v/>
      </c>
      <c r="D1590" s="2" t="str">
        <f>IF(A1590="","",MIN('Loan Inputs'!$B$17,C1590+E1590)+H1590)</f>
        <v/>
      </c>
      <c r="E1590" s="2" t="str">
        <f>IF(A1590="","",C1590*'Loan Inputs'!$B$15)</f>
        <v/>
      </c>
      <c r="F1590" s="2" t="str">
        <f t="shared" si="72"/>
        <v/>
      </c>
      <c r="G1590" s="2" t="str">
        <f t="shared" si="73"/>
        <v/>
      </c>
      <c r="H1590" s="2" t="str">
        <f>IF(A1590="","",MIN('Loan Inputs'!$B$18,MAX(0,C1590+E1590-'Loan Inputs'!$B$17)))</f>
        <v/>
      </c>
    </row>
    <row r="1591" spans="1:8" ht="22" customHeight="1">
      <c r="A1591" s="1" t="str">
        <f>IF(AND('Loan Inputs'!$B$12,1585&lt;=IF('Loan Inputs'!$B$12,'Loan Inputs'!$B$7,0)*'Loan Inputs'!$B$14+5*'Loan Inputs'!$B$14,ISNUMBER(G1590),G1590&gt;0),1585,"")</f>
        <v/>
      </c>
      <c r="B1591" s="4" t="str">
        <f>IF(A1591="","",IF('Loan Inputs'!$B$14=12,DATE(YEAR('Loan Inputs'!$B$8),MONTH('Loan Inputs'!$B$8)+A1591,DAY('Loan Inputs'!$B$8)),'Loan Inputs'!$B$8+A1591*IF('Loan Inputs'!$B$14=26,14,7)))</f>
        <v/>
      </c>
      <c r="C1591" s="2" t="str">
        <f t="shared" si="74"/>
        <v/>
      </c>
      <c r="D1591" s="2" t="str">
        <f>IF(A1591="","",MIN('Loan Inputs'!$B$17,C1591+E1591)+H1591)</f>
        <v/>
      </c>
      <c r="E1591" s="2" t="str">
        <f>IF(A1591="","",C1591*'Loan Inputs'!$B$15)</f>
        <v/>
      </c>
      <c r="F1591" s="2" t="str">
        <f t="shared" si="72"/>
        <v/>
      </c>
      <c r="G1591" s="2" t="str">
        <f t="shared" si="73"/>
        <v/>
      </c>
      <c r="H1591" s="2" t="str">
        <f>IF(A1591="","",MIN('Loan Inputs'!$B$18,MAX(0,C1591+E1591-'Loan Inputs'!$B$17)))</f>
        <v/>
      </c>
    </row>
    <row r="1592" spans="1:8" ht="22" customHeight="1">
      <c r="A1592" s="1" t="str">
        <f>IF(AND('Loan Inputs'!$B$12,1586&lt;=IF('Loan Inputs'!$B$12,'Loan Inputs'!$B$7,0)*'Loan Inputs'!$B$14+5*'Loan Inputs'!$B$14,ISNUMBER(G1591),G1591&gt;0),1586,"")</f>
        <v/>
      </c>
      <c r="B1592" s="4" t="str">
        <f>IF(A1592="","",IF('Loan Inputs'!$B$14=12,DATE(YEAR('Loan Inputs'!$B$8),MONTH('Loan Inputs'!$B$8)+A1592,DAY('Loan Inputs'!$B$8)),'Loan Inputs'!$B$8+A1592*IF('Loan Inputs'!$B$14=26,14,7)))</f>
        <v/>
      </c>
      <c r="C1592" s="2" t="str">
        <f t="shared" si="74"/>
        <v/>
      </c>
      <c r="D1592" s="2" t="str">
        <f>IF(A1592="","",MIN('Loan Inputs'!$B$17,C1592+E1592)+H1592)</f>
        <v/>
      </c>
      <c r="E1592" s="2" t="str">
        <f>IF(A1592="","",C1592*'Loan Inputs'!$B$15)</f>
        <v/>
      </c>
      <c r="F1592" s="2" t="str">
        <f t="shared" si="72"/>
        <v/>
      </c>
      <c r="G1592" s="2" t="str">
        <f t="shared" si="73"/>
        <v/>
      </c>
      <c r="H1592" s="2" t="str">
        <f>IF(A1592="","",MIN('Loan Inputs'!$B$18,MAX(0,C1592+E1592-'Loan Inputs'!$B$17)))</f>
        <v/>
      </c>
    </row>
    <row r="1593" spans="1:8" ht="22" customHeight="1">
      <c r="A1593" s="1" t="str">
        <f>IF(AND('Loan Inputs'!$B$12,1587&lt;=IF('Loan Inputs'!$B$12,'Loan Inputs'!$B$7,0)*'Loan Inputs'!$B$14+5*'Loan Inputs'!$B$14,ISNUMBER(G1592),G1592&gt;0),1587,"")</f>
        <v/>
      </c>
      <c r="B1593" s="4" t="str">
        <f>IF(A1593="","",IF('Loan Inputs'!$B$14=12,DATE(YEAR('Loan Inputs'!$B$8),MONTH('Loan Inputs'!$B$8)+A1593,DAY('Loan Inputs'!$B$8)),'Loan Inputs'!$B$8+A1593*IF('Loan Inputs'!$B$14=26,14,7)))</f>
        <v/>
      </c>
      <c r="C1593" s="2" t="str">
        <f t="shared" si="74"/>
        <v/>
      </c>
      <c r="D1593" s="2" t="str">
        <f>IF(A1593="","",MIN('Loan Inputs'!$B$17,C1593+E1593)+H1593)</f>
        <v/>
      </c>
      <c r="E1593" s="2" t="str">
        <f>IF(A1593="","",C1593*'Loan Inputs'!$B$15)</f>
        <v/>
      </c>
      <c r="F1593" s="2" t="str">
        <f t="shared" si="72"/>
        <v/>
      </c>
      <c r="G1593" s="2" t="str">
        <f t="shared" si="73"/>
        <v/>
      </c>
      <c r="H1593" s="2" t="str">
        <f>IF(A1593="","",MIN('Loan Inputs'!$B$18,MAX(0,C1593+E1593-'Loan Inputs'!$B$17)))</f>
        <v/>
      </c>
    </row>
    <row r="1594" spans="1:8" ht="22" customHeight="1">
      <c r="A1594" s="1" t="str">
        <f>IF(AND('Loan Inputs'!$B$12,1588&lt;=IF('Loan Inputs'!$B$12,'Loan Inputs'!$B$7,0)*'Loan Inputs'!$B$14+5*'Loan Inputs'!$B$14,ISNUMBER(G1593),G1593&gt;0),1588,"")</f>
        <v/>
      </c>
      <c r="B1594" s="4" t="str">
        <f>IF(A1594="","",IF('Loan Inputs'!$B$14=12,DATE(YEAR('Loan Inputs'!$B$8),MONTH('Loan Inputs'!$B$8)+A1594,DAY('Loan Inputs'!$B$8)),'Loan Inputs'!$B$8+A1594*IF('Loan Inputs'!$B$14=26,14,7)))</f>
        <v/>
      </c>
      <c r="C1594" s="2" t="str">
        <f t="shared" si="74"/>
        <v/>
      </c>
      <c r="D1594" s="2" t="str">
        <f>IF(A1594="","",MIN('Loan Inputs'!$B$17,C1594+E1594)+H1594)</f>
        <v/>
      </c>
      <c r="E1594" s="2" t="str">
        <f>IF(A1594="","",C1594*'Loan Inputs'!$B$15)</f>
        <v/>
      </c>
      <c r="F1594" s="2" t="str">
        <f t="shared" si="72"/>
        <v/>
      </c>
      <c r="G1594" s="2" t="str">
        <f t="shared" si="73"/>
        <v/>
      </c>
      <c r="H1594" s="2" t="str">
        <f>IF(A1594="","",MIN('Loan Inputs'!$B$18,MAX(0,C1594+E1594-'Loan Inputs'!$B$17)))</f>
        <v/>
      </c>
    </row>
    <row r="1595" spans="1:8" ht="22" customHeight="1">
      <c r="A1595" s="1" t="str">
        <f>IF(AND('Loan Inputs'!$B$12,1589&lt;=IF('Loan Inputs'!$B$12,'Loan Inputs'!$B$7,0)*'Loan Inputs'!$B$14+5*'Loan Inputs'!$B$14,ISNUMBER(G1594),G1594&gt;0),1589,"")</f>
        <v/>
      </c>
      <c r="B1595" s="4" t="str">
        <f>IF(A1595="","",IF('Loan Inputs'!$B$14=12,DATE(YEAR('Loan Inputs'!$B$8),MONTH('Loan Inputs'!$B$8)+A1595,DAY('Loan Inputs'!$B$8)),'Loan Inputs'!$B$8+A1595*IF('Loan Inputs'!$B$14=26,14,7)))</f>
        <v/>
      </c>
      <c r="C1595" s="2" t="str">
        <f t="shared" si="74"/>
        <v/>
      </c>
      <c r="D1595" s="2" t="str">
        <f>IF(A1595="","",MIN('Loan Inputs'!$B$17,C1595+E1595)+H1595)</f>
        <v/>
      </c>
      <c r="E1595" s="2" t="str">
        <f>IF(A1595="","",C1595*'Loan Inputs'!$B$15)</f>
        <v/>
      </c>
      <c r="F1595" s="2" t="str">
        <f t="shared" si="72"/>
        <v/>
      </c>
      <c r="G1595" s="2" t="str">
        <f t="shared" si="73"/>
        <v/>
      </c>
      <c r="H1595" s="2" t="str">
        <f>IF(A1595="","",MIN('Loan Inputs'!$B$18,MAX(0,C1595+E1595-'Loan Inputs'!$B$17)))</f>
        <v/>
      </c>
    </row>
    <row r="1596" spans="1:8" ht="22" customHeight="1">
      <c r="A1596" s="1" t="str">
        <f>IF(AND('Loan Inputs'!$B$12,1590&lt;=IF('Loan Inputs'!$B$12,'Loan Inputs'!$B$7,0)*'Loan Inputs'!$B$14+5*'Loan Inputs'!$B$14,ISNUMBER(G1595),G1595&gt;0),1590,"")</f>
        <v/>
      </c>
      <c r="B1596" s="4" t="str">
        <f>IF(A1596="","",IF('Loan Inputs'!$B$14=12,DATE(YEAR('Loan Inputs'!$B$8),MONTH('Loan Inputs'!$B$8)+A1596,DAY('Loan Inputs'!$B$8)),'Loan Inputs'!$B$8+A1596*IF('Loan Inputs'!$B$14=26,14,7)))</f>
        <v/>
      </c>
      <c r="C1596" s="2" t="str">
        <f t="shared" si="74"/>
        <v/>
      </c>
      <c r="D1596" s="2" t="str">
        <f>IF(A1596="","",MIN('Loan Inputs'!$B$17,C1596+E1596)+H1596)</f>
        <v/>
      </c>
      <c r="E1596" s="2" t="str">
        <f>IF(A1596="","",C1596*'Loan Inputs'!$B$15)</f>
        <v/>
      </c>
      <c r="F1596" s="2" t="str">
        <f t="shared" si="72"/>
        <v/>
      </c>
      <c r="G1596" s="2" t="str">
        <f t="shared" si="73"/>
        <v/>
      </c>
      <c r="H1596" s="2" t="str">
        <f>IF(A1596="","",MIN('Loan Inputs'!$B$18,MAX(0,C1596+E1596-'Loan Inputs'!$B$17)))</f>
        <v/>
      </c>
    </row>
    <row r="1597" spans="1:8" ht="22" customHeight="1">
      <c r="A1597" s="1" t="str">
        <f>IF(AND('Loan Inputs'!$B$12,1591&lt;=IF('Loan Inputs'!$B$12,'Loan Inputs'!$B$7,0)*'Loan Inputs'!$B$14+5*'Loan Inputs'!$B$14,ISNUMBER(G1596),G1596&gt;0),1591,"")</f>
        <v/>
      </c>
      <c r="B1597" s="4" t="str">
        <f>IF(A1597="","",IF('Loan Inputs'!$B$14=12,DATE(YEAR('Loan Inputs'!$B$8),MONTH('Loan Inputs'!$B$8)+A1597,DAY('Loan Inputs'!$B$8)),'Loan Inputs'!$B$8+A1597*IF('Loan Inputs'!$B$14=26,14,7)))</f>
        <v/>
      </c>
      <c r="C1597" s="2" t="str">
        <f t="shared" si="74"/>
        <v/>
      </c>
      <c r="D1597" s="2" t="str">
        <f>IF(A1597="","",MIN('Loan Inputs'!$B$17,C1597+E1597)+H1597)</f>
        <v/>
      </c>
      <c r="E1597" s="2" t="str">
        <f>IF(A1597="","",C1597*'Loan Inputs'!$B$15)</f>
        <v/>
      </c>
      <c r="F1597" s="2" t="str">
        <f t="shared" si="72"/>
        <v/>
      </c>
      <c r="G1597" s="2" t="str">
        <f t="shared" si="73"/>
        <v/>
      </c>
      <c r="H1597" s="2" t="str">
        <f>IF(A1597="","",MIN('Loan Inputs'!$B$18,MAX(0,C1597+E1597-'Loan Inputs'!$B$17)))</f>
        <v/>
      </c>
    </row>
    <row r="1598" spans="1:8" ht="22" customHeight="1">
      <c r="A1598" s="1" t="str">
        <f>IF(AND('Loan Inputs'!$B$12,1592&lt;=IF('Loan Inputs'!$B$12,'Loan Inputs'!$B$7,0)*'Loan Inputs'!$B$14+5*'Loan Inputs'!$B$14,ISNUMBER(G1597),G1597&gt;0),1592,"")</f>
        <v/>
      </c>
      <c r="B1598" s="4" t="str">
        <f>IF(A1598="","",IF('Loan Inputs'!$B$14=12,DATE(YEAR('Loan Inputs'!$B$8),MONTH('Loan Inputs'!$B$8)+A1598,DAY('Loan Inputs'!$B$8)),'Loan Inputs'!$B$8+A1598*IF('Loan Inputs'!$B$14=26,14,7)))</f>
        <v/>
      </c>
      <c r="C1598" s="2" t="str">
        <f t="shared" si="74"/>
        <v/>
      </c>
      <c r="D1598" s="2" t="str">
        <f>IF(A1598="","",MIN('Loan Inputs'!$B$17,C1598+E1598)+H1598)</f>
        <v/>
      </c>
      <c r="E1598" s="2" t="str">
        <f>IF(A1598="","",C1598*'Loan Inputs'!$B$15)</f>
        <v/>
      </c>
      <c r="F1598" s="2" t="str">
        <f t="shared" si="72"/>
        <v/>
      </c>
      <c r="G1598" s="2" t="str">
        <f t="shared" si="73"/>
        <v/>
      </c>
      <c r="H1598" s="2" t="str">
        <f>IF(A1598="","",MIN('Loan Inputs'!$B$18,MAX(0,C1598+E1598-'Loan Inputs'!$B$17)))</f>
        <v/>
      </c>
    </row>
    <row r="1599" spans="1:8" ht="22" customHeight="1">
      <c r="A1599" s="1" t="str">
        <f>IF(AND('Loan Inputs'!$B$12,1593&lt;=IF('Loan Inputs'!$B$12,'Loan Inputs'!$B$7,0)*'Loan Inputs'!$B$14+5*'Loan Inputs'!$B$14,ISNUMBER(G1598),G1598&gt;0),1593,"")</f>
        <v/>
      </c>
      <c r="B1599" s="4" t="str">
        <f>IF(A1599="","",IF('Loan Inputs'!$B$14=12,DATE(YEAR('Loan Inputs'!$B$8),MONTH('Loan Inputs'!$B$8)+A1599,DAY('Loan Inputs'!$B$8)),'Loan Inputs'!$B$8+A1599*IF('Loan Inputs'!$B$14=26,14,7)))</f>
        <v/>
      </c>
      <c r="C1599" s="2" t="str">
        <f t="shared" si="74"/>
        <v/>
      </c>
      <c r="D1599" s="2" t="str">
        <f>IF(A1599="","",MIN('Loan Inputs'!$B$17,C1599+E1599)+H1599)</f>
        <v/>
      </c>
      <c r="E1599" s="2" t="str">
        <f>IF(A1599="","",C1599*'Loan Inputs'!$B$15)</f>
        <v/>
      </c>
      <c r="F1599" s="2" t="str">
        <f t="shared" si="72"/>
        <v/>
      </c>
      <c r="G1599" s="2" t="str">
        <f t="shared" si="73"/>
        <v/>
      </c>
      <c r="H1599" s="2" t="str">
        <f>IF(A1599="","",MIN('Loan Inputs'!$B$18,MAX(0,C1599+E1599-'Loan Inputs'!$B$17)))</f>
        <v/>
      </c>
    </row>
    <row r="1600" spans="1:8" ht="22" customHeight="1">
      <c r="A1600" s="1" t="str">
        <f>IF(AND('Loan Inputs'!$B$12,1594&lt;=IF('Loan Inputs'!$B$12,'Loan Inputs'!$B$7,0)*'Loan Inputs'!$B$14+5*'Loan Inputs'!$B$14,ISNUMBER(G1599),G1599&gt;0),1594,"")</f>
        <v/>
      </c>
      <c r="B1600" s="4" t="str">
        <f>IF(A1600="","",IF('Loan Inputs'!$B$14=12,DATE(YEAR('Loan Inputs'!$B$8),MONTH('Loan Inputs'!$B$8)+A1600,DAY('Loan Inputs'!$B$8)),'Loan Inputs'!$B$8+A1600*IF('Loan Inputs'!$B$14=26,14,7)))</f>
        <v/>
      </c>
      <c r="C1600" s="2" t="str">
        <f t="shared" si="74"/>
        <v/>
      </c>
      <c r="D1600" s="2" t="str">
        <f>IF(A1600="","",MIN('Loan Inputs'!$B$17,C1600+E1600)+H1600)</f>
        <v/>
      </c>
      <c r="E1600" s="2" t="str">
        <f>IF(A1600="","",C1600*'Loan Inputs'!$B$15)</f>
        <v/>
      </c>
      <c r="F1600" s="2" t="str">
        <f t="shared" si="72"/>
        <v/>
      </c>
      <c r="G1600" s="2" t="str">
        <f t="shared" si="73"/>
        <v/>
      </c>
      <c r="H1600" s="2" t="str">
        <f>IF(A1600="","",MIN('Loan Inputs'!$B$18,MAX(0,C1600+E1600-'Loan Inputs'!$B$17)))</f>
        <v/>
      </c>
    </row>
    <row r="1601" spans="1:8" ht="22" customHeight="1">
      <c r="A1601" s="1" t="str">
        <f>IF(AND('Loan Inputs'!$B$12,1595&lt;=IF('Loan Inputs'!$B$12,'Loan Inputs'!$B$7,0)*'Loan Inputs'!$B$14+5*'Loan Inputs'!$B$14,ISNUMBER(G1600),G1600&gt;0),1595,"")</f>
        <v/>
      </c>
      <c r="B1601" s="4" t="str">
        <f>IF(A1601="","",IF('Loan Inputs'!$B$14=12,DATE(YEAR('Loan Inputs'!$B$8),MONTH('Loan Inputs'!$B$8)+A1601,DAY('Loan Inputs'!$B$8)),'Loan Inputs'!$B$8+A1601*IF('Loan Inputs'!$B$14=26,14,7)))</f>
        <v/>
      </c>
      <c r="C1601" s="2" t="str">
        <f t="shared" si="74"/>
        <v/>
      </c>
      <c r="D1601" s="2" t="str">
        <f>IF(A1601="","",MIN('Loan Inputs'!$B$17,C1601+E1601)+H1601)</f>
        <v/>
      </c>
      <c r="E1601" s="2" t="str">
        <f>IF(A1601="","",C1601*'Loan Inputs'!$B$15)</f>
        <v/>
      </c>
      <c r="F1601" s="2" t="str">
        <f t="shared" si="72"/>
        <v/>
      </c>
      <c r="G1601" s="2" t="str">
        <f t="shared" si="73"/>
        <v/>
      </c>
      <c r="H1601" s="2" t="str">
        <f>IF(A1601="","",MIN('Loan Inputs'!$B$18,MAX(0,C1601+E1601-'Loan Inputs'!$B$17)))</f>
        <v/>
      </c>
    </row>
    <row r="1602" spans="1:8" ht="22" customHeight="1">
      <c r="A1602" s="1" t="str">
        <f>IF(AND('Loan Inputs'!$B$12,1596&lt;=IF('Loan Inputs'!$B$12,'Loan Inputs'!$B$7,0)*'Loan Inputs'!$B$14+5*'Loan Inputs'!$B$14,ISNUMBER(G1601),G1601&gt;0),1596,"")</f>
        <v/>
      </c>
      <c r="B1602" s="4" t="str">
        <f>IF(A1602="","",IF('Loan Inputs'!$B$14=12,DATE(YEAR('Loan Inputs'!$B$8),MONTH('Loan Inputs'!$B$8)+A1602,DAY('Loan Inputs'!$B$8)),'Loan Inputs'!$B$8+A1602*IF('Loan Inputs'!$B$14=26,14,7)))</f>
        <v/>
      </c>
      <c r="C1602" s="2" t="str">
        <f t="shared" si="74"/>
        <v/>
      </c>
      <c r="D1602" s="2" t="str">
        <f>IF(A1602="","",MIN('Loan Inputs'!$B$17,C1602+E1602)+H1602)</f>
        <v/>
      </c>
      <c r="E1602" s="2" t="str">
        <f>IF(A1602="","",C1602*'Loan Inputs'!$B$15)</f>
        <v/>
      </c>
      <c r="F1602" s="2" t="str">
        <f t="shared" si="72"/>
        <v/>
      </c>
      <c r="G1602" s="2" t="str">
        <f t="shared" si="73"/>
        <v/>
      </c>
      <c r="H1602" s="2" t="str">
        <f>IF(A1602="","",MIN('Loan Inputs'!$B$18,MAX(0,C1602+E1602-'Loan Inputs'!$B$17)))</f>
        <v/>
      </c>
    </row>
    <row r="1603" spans="1:8" ht="22" customHeight="1">
      <c r="A1603" s="1" t="str">
        <f>IF(AND('Loan Inputs'!$B$12,1597&lt;=IF('Loan Inputs'!$B$12,'Loan Inputs'!$B$7,0)*'Loan Inputs'!$B$14+5*'Loan Inputs'!$B$14,ISNUMBER(G1602),G1602&gt;0),1597,"")</f>
        <v/>
      </c>
      <c r="B1603" s="4" t="str">
        <f>IF(A1603="","",IF('Loan Inputs'!$B$14=12,DATE(YEAR('Loan Inputs'!$B$8),MONTH('Loan Inputs'!$B$8)+A1603,DAY('Loan Inputs'!$B$8)),'Loan Inputs'!$B$8+A1603*IF('Loan Inputs'!$B$14=26,14,7)))</f>
        <v/>
      </c>
      <c r="C1603" s="2" t="str">
        <f t="shared" si="74"/>
        <v/>
      </c>
      <c r="D1603" s="2" t="str">
        <f>IF(A1603="","",MIN('Loan Inputs'!$B$17,C1603+E1603)+H1603)</f>
        <v/>
      </c>
      <c r="E1603" s="2" t="str">
        <f>IF(A1603="","",C1603*'Loan Inputs'!$B$15)</f>
        <v/>
      </c>
      <c r="F1603" s="2" t="str">
        <f t="shared" si="72"/>
        <v/>
      </c>
      <c r="G1603" s="2" t="str">
        <f t="shared" si="73"/>
        <v/>
      </c>
      <c r="H1603" s="2" t="str">
        <f>IF(A1603="","",MIN('Loan Inputs'!$B$18,MAX(0,C1603+E1603-'Loan Inputs'!$B$17)))</f>
        <v/>
      </c>
    </row>
    <row r="1604" spans="1:8" ht="22" customHeight="1">
      <c r="A1604" s="1" t="str">
        <f>IF(AND('Loan Inputs'!$B$12,1598&lt;=IF('Loan Inputs'!$B$12,'Loan Inputs'!$B$7,0)*'Loan Inputs'!$B$14+5*'Loan Inputs'!$B$14,ISNUMBER(G1603),G1603&gt;0),1598,"")</f>
        <v/>
      </c>
      <c r="B1604" s="4" t="str">
        <f>IF(A1604="","",IF('Loan Inputs'!$B$14=12,DATE(YEAR('Loan Inputs'!$B$8),MONTH('Loan Inputs'!$B$8)+A1604,DAY('Loan Inputs'!$B$8)),'Loan Inputs'!$B$8+A1604*IF('Loan Inputs'!$B$14=26,14,7)))</f>
        <v/>
      </c>
      <c r="C1604" s="2" t="str">
        <f t="shared" si="74"/>
        <v/>
      </c>
      <c r="D1604" s="2" t="str">
        <f>IF(A1604="","",MIN('Loan Inputs'!$B$17,C1604+E1604)+H1604)</f>
        <v/>
      </c>
      <c r="E1604" s="2" t="str">
        <f>IF(A1604="","",C1604*'Loan Inputs'!$B$15)</f>
        <v/>
      </c>
      <c r="F1604" s="2" t="str">
        <f t="shared" si="72"/>
        <v/>
      </c>
      <c r="G1604" s="2" t="str">
        <f t="shared" si="73"/>
        <v/>
      </c>
      <c r="H1604" s="2" t="str">
        <f>IF(A1604="","",MIN('Loan Inputs'!$B$18,MAX(0,C1604+E1604-'Loan Inputs'!$B$17)))</f>
        <v/>
      </c>
    </row>
    <row r="1605" spans="1:8" ht="22" customHeight="1">
      <c r="A1605" s="1" t="str">
        <f>IF(AND('Loan Inputs'!$B$12,1599&lt;=IF('Loan Inputs'!$B$12,'Loan Inputs'!$B$7,0)*'Loan Inputs'!$B$14+5*'Loan Inputs'!$B$14,ISNUMBER(G1604),G1604&gt;0),1599,"")</f>
        <v/>
      </c>
      <c r="B1605" s="4" t="str">
        <f>IF(A1605="","",IF('Loan Inputs'!$B$14=12,DATE(YEAR('Loan Inputs'!$B$8),MONTH('Loan Inputs'!$B$8)+A1605,DAY('Loan Inputs'!$B$8)),'Loan Inputs'!$B$8+A1605*IF('Loan Inputs'!$B$14=26,14,7)))</f>
        <v/>
      </c>
      <c r="C1605" s="2" t="str">
        <f t="shared" si="74"/>
        <v/>
      </c>
      <c r="D1605" s="2" t="str">
        <f>IF(A1605="","",MIN('Loan Inputs'!$B$17,C1605+E1605)+H1605)</f>
        <v/>
      </c>
      <c r="E1605" s="2" t="str">
        <f>IF(A1605="","",C1605*'Loan Inputs'!$B$15)</f>
        <v/>
      </c>
      <c r="F1605" s="2" t="str">
        <f t="shared" si="72"/>
        <v/>
      </c>
      <c r="G1605" s="2" t="str">
        <f t="shared" si="73"/>
        <v/>
      </c>
      <c r="H1605" s="2" t="str">
        <f>IF(A1605="","",MIN('Loan Inputs'!$B$18,MAX(0,C1605+E1605-'Loan Inputs'!$B$17)))</f>
        <v/>
      </c>
    </row>
    <row r="1606" spans="1:8" ht="22" customHeight="1">
      <c r="A1606" s="1" t="str">
        <f>IF(AND('Loan Inputs'!$B$12,1600&lt;=IF('Loan Inputs'!$B$12,'Loan Inputs'!$B$7,0)*'Loan Inputs'!$B$14+5*'Loan Inputs'!$B$14,ISNUMBER(G1605),G1605&gt;0),1600,"")</f>
        <v/>
      </c>
      <c r="B1606" s="4" t="str">
        <f>IF(A1606="","",IF('Loan Inputs'!$B$14=12,DATE(YEAR('Loan Inputs'!$B$8),MONTH('Loan Inputs'!$B$8)+A1606,DAY('Loan Inputs'!$B$8)),'Loan Inputs'!$B$8+A1606*IF('Loan Inputs'!$B$14=26,14,7)))</f>
        <v/>
      </c>
      <c r="C1606" s="2" t="str">
        <f t="shared" si="74"/>
        <v/>
      </c>
      <c r="D1606" s="2" t="str">
        <f>IF(A1606="","",MIN('Loan Inputs'!$B$17,C1606+E1606)+H1606)</f>
        <v/>
      </c>
      <c r="E1606" s="2" t="str">
        <f>IF(A1606="","",C1606*'Loan Inputs'!$B$15)</f>
        <v/>
      </c>
      <c r="F1606" s="2" t="str">
        <f t="shared" si="72"/>
        <v/>
      </c>
      <c r="G1606" s="2" t="str">
        <f t="shared" si="73"/>
        <v/>
      </c>
      <c r="H1606" s="2" t="str">
        <f>IF(A1606="","",MIN('Loan Inputs'!$B$18,MAX(0,C1606+E1606-'Loan Inputs'!$B$17)))</f>
        <v/>
      </c>
    </row>
    <row r="1607" spans="1:8" ht="22" customHeight="1">
      <c r="A1607" s="1" t="str">
        <f>IF(AND('Loan Inputs'!$B$12,1601&lt;=IF('Loan Inputs'!$B$12,'Loan Inputs'!$B$7,0)*'Loan Inputs'!$B$14+5*'Loan Inputs'!$B$14,ISNUMBER(G1606),G1606&gt;0),1601,"")</f>
        <v/>
      </c>
      <c r="B1607" s="4" t="str">
        <f>IF(A1607="","",IF('Loan Inputs'!$B$14=12,DATE(YEAR('Loan Inputs'!$B$8),MONTH('Loan Inputs'!$B$8)+A1607,DAY('Loan Inputs'!$B$8)),'Loan Inputs'!$B$8+A1607*IF('Loan Inputs'!$B$14=26,14,7)))</f>
        <v/>
      </c>
      <c r="C1607" s="2" t="str">
        <f t="shared" si="74"/>
        <v/>
      </c>
      <c r="D1607" s="2" t="str">
        <f>IF(A1607="","",MIN('Loan Inputs'!$B$17,C1607+E1607)+H1607)</f>
        <v/>
      </c>
      <c r="E1607" s="2" t="str">
        <f>IF(A1607="","",C1607*'Loan Inputs'!$B$15)</f>
        <v/>
      </c>
      <c r="F1607" s="2" t="str">
        <f t="shared" ref="F1607:F1670" si="75">IF(A1607="","",MIN(C1607,D1607-E1607))</f>
        <v/>
      </c>
      <c r="G1607" s="2" t="str">
        <f t="shared" ref="G1607:G1670" si="76">IF(A1607="","",IF(C1607-F1607&lt;0.0000001,0,MAX(0,C1607-F1607)))</f>
        <v/>
      </c>
      <c r="H1607" s="2" t="str">
        <f>IF(A1607="","",MIN('Loan Inputs'!$B$18,MAX(0,C1607+E1607-'Loan Inputs'!$B$17)))</f>
        <v/>
      </c>
    </row>
    <row r="1608" spans="1:8" ht="22" customHeight="1">
      <c r="A1608" s="1" t="str">
        <f>IF(AND('Loan Inputs'!$B$12,1602&lt;=IF('Loan Inputs'!$B$12,'Loan Inputs'!$B$7,0)*'Loan Inputs'!$B$14+5*'Loan Inputs'!$B$14,ISNUMBER(G1607),G1607&gt;0),1602,"")</f>
        <v/>
      </c>
      <c r="B1608" s="4" t="str">
        <f>IF(A1608="","",IF('Loan Inputs'!$B$14=12,DATE(YEAR('Loan Inputs'!$B$8),MONTH('Loan Inputs'!$B$8)+A1608,DAY('Loan Inputs'!$B$8)),'Loan Inputs'!$B$8+A1608*IF('Loan Inputs'!$B$14=26,14,7)))</f>
        <v/>
      </c>
      <c r="C1608" s="2" t="str">
        <f t="shared" ref="C1608:C1671" si="77">IF(A1608="","",G1607)</f>
        <v/>
      </c>
      <c r="D1608" s="2" t="str">
        <f>IF(A1608="","",MIN('Loan Inputs'!$B$17,C1608+E1608)+H1608)</f>
        <v/>
      </c>
      <c r="E1608" s="2" t="str">
        <f>IF(A1608="","",C1608*'Loan Inputs'!$B$15)</f>
        <v/>
      </c>
      <c r="F1608" s="2" t="str">
        <f t="shared" si="75"/>
        <v/>
      </c>
      <c r="G1608" s="2" t="str">
        <f t="shared" si="76"/>
        <v/>
      </c>
      <c r="H1608" s="2" t="str">
        <f>IF(A1608="","",MIN('Loan Inputs'!$B$18,MAX(0,C1608+E1608-'Loan Inputs'!$B$17)))</f>
        <v/>
      </c>
    </row>
    <row r="1609" spans="1:8" ht="22" customHeight="1">
      <c r="A1609" s="1" t="str">
        <f>IF(AND('Loan Inputs'!$B$12,1603&lt;=IF('Loan Inputs'!$B$12,'Loan Inputs'!$B$7,0)*'Loan Inputs'!$B$14+5*'Loan Inputs'!$B$14,ISNUMBER(G1608),G1608&gt;0),1603,"")</f>
        <v/>
      </c>
      <c r="B1609" s="4" t="str">
        <f>IF(A1609="","",IF('Loan Inputs'!$B$14=12,DATE(YEAR('Loan Inputs'!$B$8),MONTH('Loan Inputs'!$B$8)+A1609,DAY('Loan Inputs'!$B$8)),'Loan Inputs'!$B$8+A1609*IF('Loan Inputs'!$B$14=26,14,7)))</f>
        <v/>
      </c>
      <c r="C1609" s="2" t="str">
        <f t="shared" si="77"/>
        <v/>
      </c>
      <c r="D1609" s="2" t="str">
        <f>IF(A1609="","",MIN('Loan Inputs'!$B$17,C1609+E1609)+H1609)</f>
        <v/>
      </c>
      <c r="E1609" s="2" t="str">
        <f>IF(A1609="","",C1609*'Loan Inputs'!$B$15)</f>
        <v/>
      </c>
      <c r="F1609" s="2" t="str">
        <f t="shared" si="75"/>
        <v/>
      </c>
      <c r="G1609" s="2" t="str">
        <f t="shared" si="76"/>
        <v/>
      </c>
      <c r="H1609" s="2" t="str">
        <f>IF(A1609="","",MIN('Loan Inputs'!$B$18,MAX(0,C1609+E1609-'Loan Inputs'!$B$17)))</f>
        <v/>
      </c>
    </row>
    <row r="1610" spans="1:8" ht="22" customHeight="1">
      <c r="A1610" s="1" t="str">
        <f>IF(AND('Loan Inputs'!$B$12,1604&lt;=IF('Loan Inputs'!$B$12,'Loan Inputs'!$B$7,0)*'Loan Inputs'!$B$14+5*'Loan Inputs'!$B$14,ISNUMBER(G1609),G1609&gt;0),1604,"")</f>
        <v/>
      </c>
      <c r="B1610" s="4" t="str">
        <f>IF(A1610="","",IF('Loan Inputs'!$B$14=12,DATE(YEAR('Loan Inputs'!$B$8),MONTH('Loan Inputs'!$B$8)+A1610,DAY('Loan Inputs'!$B$8)),'Loan Inputs'!$B$8+A1610*IF('Loan Inputs'!$B$14=26,14,7)))</f>
        <v/>
      </c>
      <c r="C1610" s="2" t="str">
        <f t="shared" si="77"/>
        <v/>
      </c>
      <c r="D1610" s="2" t="str">
        <f>IF(A1610="","",MIN('Loan Inputs'!$B$17,C1610+E1610)+H1610)</f>
        <v/>
      </c>
      <c r="E1610" s="2" t="str">
        <f>IF(A1610="","",C1610*'Loan Inputs'!$B$15)</f>
        <v/>
      </c>
      <c r="F1610" s="2" t="str">
        <f t="shared" si="75"/>
        <v/>
      </c>
      <c r="G1610" s="2" t="str">
        <f t="shared" si="76"/>
        <v/>
      </c>
      <c r="H1610" s="2" t="str">
        <f>IF(A1610="","",MIN('Loan Inputs'!$B$18,MAX(0,C1610+E1610-'Loan Inputs'!$B$17)))</f>
        <v/>
      </c>
    </row>
    <row r="1611" spans="1:8" ht="22" customHeight="1">
      <c r="A1611" s="1" t="str">
        <f>IF(AND('Loan Inputs'!$B$12,1605&lt;=IF('Loan Inputs'!$B$12,'Loan Inputs'!$B$7,0)*'Loan Inputs'!$B$14+5*'Loan Inputs'!$B$14,ISNUMBER(G1610),G1610&gt;0),1605,"")</f>
        <v/>
      </c>
      <c r="B1611" s="4" t="str">
        <f>IF(A1611="","",IF('Loan Inputs'!$B$14=12,DATE(YEAR('Loan Inputs'!$B$8),MONTH('Loan Inputs'!$B$8)+A1611,DAY('Loan Inputs'!$B$8)),'Loan Inputs'!$B$8+A1611*IF('Loan Inputs'!$B$14=26,14,7)))</f>
        <v/>
      </c>
      <c r="C1611" s="2" t="str">
        <f t="shared" si="77"/>
        <v/>
      </c>
      <c r="D1611" s="2" t="str">
        <f>IF(A1611="","",MIN('Loan Inputs'!$B$17,C1611+E1611)+H1611)</f>
        <v/>
      </c>
      <c r="E1611" s="2" t="str">
        <f>IF(A1611="","",C1611*'Loan Inputs'!$B$15)</f>
        <v/>
      </c>
      <c r="F1611" s="2" t="str">
        <f t="shared" si="75"/>
        <v/>
      </c>
      <c r="G1611" s="2" t="str">
        <f t="shared" si="76"/>
        <v/>
      </c>
      <c r="H1611" s="2" t="str">
        <f>IF(A1611="","",MIN('Loan Inputs'!$B$18,MAX(0,C1611+E1611-'Loan Inputs'!$B$17)))</f>
        <v/>
      </c>
    </row>
    <row r="1612" spans="1:8" ht="22" customHeight="1">
      <c r="A1612" s="1" t="str">
        <f>IF(AND('Loan Inputs'!$B$12,1606&lt;=IF('Loan Inputs'!$B$12,'Loan Inputs'!$B$7,0)*'Loan Inputs'!$B$14+5*'Loan Inputs'!$B$14,ISNUMBER(G1611),G1611&gt;0),1606,"")</f>
        <v/>
      </c>
      <c r="B1612" s="4" t="str">
        <f>IF(A1612="","",IF('Loan Inputs'!$B$14=12,DATE(YEAR('Loan Inputs'!$B$8),MONTH('Loan Inputs'!$B$8)+A1612,DAY('Loan Inputs'!$B$8)),'Loan Inputs'!$B$8+A1612*IF('Loan Inputs'!$B$14=26,14,7)))</f>
        <v/>
      </c>
      <c r="C1612" s="2" t="str">
        <f t="shared" si="77"/>
        <v/>
      </c>
      <c r="D1612" s="2" t="str">
        <f>IF(A1612="","",MIN('Loan Inputs'!$B$17,C1612+E1612)+H1612)</f>
        <v/>
      </c>
      <c r="E1612" s="2" t="str">
        <f>IF(A1612="","",C1612*'Loan Inputs'!$B$15)</f>
        <v/>
      </c>
      <c r="F1612" s="2" t="str">
        <f t="shared" si="75"/>
        <v/>
      </c>
      <c r="G1612" s="2" t="str">
        <f t="shared" si="76"/>
        <v/>
      </c>
      <c r="H1612" s="2" t="str">
        <f>IF(A1612="","",MIN('Loan Inputs'!$B$18,MAX(0,C1612+E1612-'Loan Inputs'!$B$17)))</f>
        <v/>
      </c>
    </row>
    <row r="1613" spans="1:8" ht="22" customHeight="1">
      <c r="A1613" s="1" t="str">
        <f>IF(AND('Loan Inputs'!$B$12,1607&lt;=IF('Loan Inputs'!$B$12,'Loan Inputs'!$B$7,0)*'Loan Inputs'!$B$14+5*'Loan Inputs'!$B$14,ISNUMBER(G1612),G1612&gt;0),1607,"")</f>
        <v/>
      </c>
      <c r="B1613" s="4" t="str">
        <f>IF(A1613="","",IF('Loan Inputs'!$B$14=12,DATE(YEAR('Loan Inputs'!$B$8),MONTH('Loan Inputs'!$B$8)+A1613,DAY('Loan Inputs'!$B$8)),'Loan Inputs'!$B$8+A1613*IF('Loan Inputs'!$B$14=26,14,7)))</f>
        <v/>
      </c>
      <c r="C1613" s="2" t="str">
        <f t="shared" si="77"/>
        <v/>
      </c>
      <c r="D1613" s="2" t="str">
        <f>IF(A1613="","",MIN('Loan Inputs'!$B$17,C1613+E1613)+H1613)</f>
        <v/>
      </c>
      <c r="E1613" s="2" t="str">
        <f>IF(A1613="","",C1613*'Loan Inputs'!$B$15)</f>
        <v/>
      </c>
      <c r="F1613" s="2" t="str">
        <f t="shared" si="75"/>
        <v/>
      </c>
      <c r="G1613" s="2" t="str">
        <f t="shared" si="76"/>
        <v/>
      </c>
      <c r="H1613" s="2" t="str">
        <f>IF(A1613="","",MIN('Loan Inputs'!$B$18,MAX(0,C1613+E1613-'Loan Inputs'!$B$17)))</f>
        <v/>
      </c>
    </row>
    <row r="1614" spans="1:8" ht="22" customHeight="1">
      <c r="A1614" s="1" t="str">
        <f>IF(AND('Loan Inputs'!$B$12,1608&lt;=IF('Loan Inputs'!$B$12,'Loan Inputs'!$B$7,0)*'Loan Inputs'!$B$14+5*'Loan Inputs'!$B$14,ISNUMBER(G1613),G1613&gt;0),1608,"")</f>
        <v/>
      </c>
      <c r="B1614" s="4" t="str">
        <f>IF(A1614="","",IF('Loan Inputs'!$B$14=12,DATE(YEAR('Loan Inputs'!$B$8),MONTH('Loan Inputs'!$B$8)+A1614,DAY('Loan Inputs'!$B$8)),'Loan Inputs'!$B$8+A1614*IF('Loan Inputs'!$B$14=26,14,7)))</f>
        <v/>
      </c>
      <c r="C1614" s="2" t="str">
        <f t="shared" si="77"/>
        <v/>
      </c>
      <c r="D1614" s="2" t="str">
        <f>IF(A1614="","",MIN('Loan Inputs'!$B$17,C1614+E1614)+H1614)</f>
        <v/>
      </c>
      <c r="E1614" s="2" t="str">
        <f>IF(A1614="","",C1614*'Loan Inputs'!$B$15)</f>
        <v/>
      </c>
      <c r="F1614" s="2" t="str">
        <f t="shared" si="75"/>
        <v/>
      </c>
      <c r="G1614" s="2" t="str">
        <f t="shared" si="76"/>
        <v/>
      </c>
      <c r="H1614" s="2" t="str">
        <f>IF(A1614="","",MIN('Loan Inputs'!$B$18,MAX(0,C1614+E1614-'Loan Inputs'!$B$17)))</f>
        <v/>
      </c>
    </row>
    <row r="1615" spans="1:8" ht="22" customHeight="1">
      <c r="A1615" s="1" t="str">
        <f>IF(AND('Loan Inputs'!$B$12,1609&lt;=IF('Loan Inputs'!$B$12,'Loan Inputs'!$B$7,0)*'Loan Inputs'!$B$14+5*'Loan Inputs'!$B$14,ISNUMBER(G1614),G1614&gt;0),1609,"")</f>
        <v/>
      </c>
      <c r="B1615" s="4" t="str">
        <f>IF(A1615="","",IF('Loan Inputs'!$B$14=12,DATE(YEAR('Loan Inputs'!$B$8),MONTH('Loan Inputs'!$B$8)+A1615,DAY('Loan Inputs'!$B$8)),'Loan Inputs'!$B$8+A1615*IF('Loan Inputs'!$B$14=26,14,7)))</f>
        <v/>
      </c>
      <c r="C1615" s="2" t="str">
        <f t="shared" si="77"/>
        <v/>
      </c>
      <c r="D1615" s="2" t="str">
        <f>IF(A1615="","",MIN('Loan Inputs'!$B$17,C1615+E1615)+H1615)</f>
        <v/>
      </c>
      <c r="E1615" s="2" t="str">
        <f>IF(A1615="","",C1615*'Loan Inputs'!$B$15)</f>
        <v/>
      </c>
      <c r="F1615" s="2" t="str">
        <f t="shared" si="75"/>
        <v/>
      </c>
      <c r="G1615" s="2" t="str">
        <f t="shared" si="76"/>
        <v/>
      </c>
      <c r="H1615" s="2" t="str">
        <f>IF(A1615="","",MIN('Loan Inputs'!$B$18,MAX(0,C1615+E1615-'Loan Inputs'!$B$17)))</f>
        <v/>
      </c>
    </row>
    <row r="1616" spans="1:8" ht="22" customHeight="1">
      <c r="A1616" s="1" t="str">
        <f>IF(AND('Loan Inputs'!$B$12,1610&lt;=IF('Loan Inputs'!$B$12,'Loan Inputs'!$B$7,0)*'Loan Inputs'!$B$14+5*'Loan Inputs'!$B$14,ISNUMBER(G1615),G1615&gt;0),1610,"")</f>
        <v/>
      </c>
      <c r="B1616" s="4" t="str">
        <f>IF(A1616="","",IF('Loan Inputs'!$B$14=12,DATE(YEAR('Loan Inputs'!$B$8),MONTH('Loan Inputs'!$B$8)+A1616,DAY('Loan Inputs'!$B$8)),'Loan Inputs'!$B$8+A1616*IF('Loan Inputs'!$B$14=26,14,7)))</f>
        <v/>
      </c>
      <c r="C1616" s="2" t="str">
        <f t="shared" si="77"/>
        <v/>
      </c>
      <c r="D1616" s="2" t="str">
        <f>IF(A1616="","",MIN('Loan Inputs'!$B$17,C1616+E1616)+H1616)</f>
        <v/>
      </c>
      <c r="E1616" s="2" t="str">
        <f>IF(A1616="","",C1616*'Loan Inputs'!$B$15)</f>
        <v/>
      </c>
      <c r="F1616" s="2" t="str">
        <f t="shared" si="75"/>
        <v/>
      </c>
      <c r="G1616" s="2" t="str">
        <f t="shared" si="76"/>
        <v/>
      </c>
      <c r="H1616" s="2" t="str">
        <f>IF(A1616="","",MIN('Loan Inputs'!$B$18,MAX(0,C1616+E1616-'Loan Inputs'!$B$17)))</f>
        <v/>
      </c>
    </row>
    <row r="1617" spans="1:8" ht="22" customHeight="1">
      <c r="A1617" s="1" t="str">
        <f>IF(AND('Loan Inputs'!$B$12,1611&lt;=IF('Loan Inputs'!$B$12,'Loan Inputs'!$B$7,0)*'Loan Inputs'!$B$14+5*'Loan Inputs'!$B$14,ISNUMBER(G1616),G1616&gt;0),1611,"")</f>
        <v/>
      </c>
      <c r="B1617" s="4" t="str">
        <f>IF(A1617="","",IF('Loan Inputs'!$B$14=12,DATE(YEAR('Loan Inputs'!$B$8),MONTH('Loan Inputs'!$B$8)+A1617,DAY('Loan Inputs'!$B$8)),'Loan Inputs'!$B$8+A1617*IF('Loan Inputs'!$B$14=26,14,7)))</f>
        <v/>
      </c>
      <c r="C1617" s="2" t="str">
        <f t="shared" si="77"/>
        <v/>
      </c>
      <c r="D1617" s="2" t="str">
        <f>IF(A1617="","",MIN('Loan Inputs'!$B$17,C1617+E1617)+H1617)</f>
        <v/>
      </c>
      <c r="E1617" s="2" t="str">
        <f>IF(A1617="","",C1617*'Loan Inputs'!$B$15)</f>
        <v/>
      </c>
      <c r="F1617" s="2" t="str">
        <f t="shared" si="75"/>
        <v/>
      </c>
      <c r="G1617" s="2" t="str">
        <f t="shared" si="76"/>
        <v/>
      </c>
      <c r="H1617" s="2" t="str">
        <f>IF(A1617="","",MIN('Loan Inputs'!$B$18,MAX(0,C1617+E1617-'Loan Inputs'!$B$17)))</f>
        <v/>
      </c>
    </row>
    <row r="1618" spans="1:8" ht="22" customHeight="1">
      <c r="A1618" s="1" t="str">
        <f>IF(AND('Loan Inputs'!$B$12,1612&lt;=IF('Loan Inputs'!$B$12,'Loan Inputs'!$B$7,0)*'Loan Inputs'!$B$14+5*'Loan Inputs'!$B$14,ISNUMBER(G1617),G1617&gt;0),1612,"")</f>
        <v/>
      </c>
      <c r="B1618" s="4" t="str">
        <f>IF(A1618="","",IF('Loan Inputs'!$B$14=12,DATE(YEAR('Loan Inputs'!$B$8),MONTH('Loan Inputs'!$B$8)+A1618,DAY('Loan Inputs'!$B$8)),'Loan Inputs'!$B$8+A1618*IF('Loan Inputs'!$B$14=26,14,7)))</f>
        <v/>
      </c>
      <c r="C1618" s="2" t="str">
        <f t="shared" si="77"/>
        <v/>
      </c>
      <c r="D1618" s="2" t="str">
        <f>IF(A1618="","",MIN('Loan Inputs'!$B$17,C1618+E1618)+H1618)</f>
        <v/>
      </c>
      <c r="E1618" s="2" t="str">
        <f>IF(A1618="","",C1618*'Loan Inputs'!$B$15)</f>
        <v/>
      </c>
      <c r="F1618" s="2" t="str">
        <f t="shared" si="75"/>
        <v/>
      </c>
      <c r="G1618" s="2" t="str">
        <f t="shared" si="76"/>
        <v/>
      </c>
      <c r="H1618" s="2" t="str">
        <f>IF(A1618="","",MIN('Loan Inputs'!$B$18,MAX(0,C1618+E1618-'Loan Inputs'!$B$17)))</f>
        <v/>
      </c>
    </row>
    <row r="1619" spans="1:8" ht="22" customHeight="1">
      <c r="A1619" s="1" t="str">
        <f>IF(AND('Loan Inputs'!$B$12,1613&lt;=IF('Loan Inputs'!$B$12,'Loan Inputs'!$B$7,0)*'Loan Inputs'!$B$14+5*'Loan Inputs'!$B$14,ISNUMBER(G1618),G1618&gt;0),1613,"")</f>
        <v/>
      </c>
      <c r="B1619" s="4" t="str">
        <f>IF(A1619="","",IF('Loan Inputs'!$B$14=12,DATE(YEAR('Loan Inputs'!$B$8),MONTH('Loan Inputs'!$B$8)+A1619,DAY('Loan Inputs'!$B$8)),'Loan Inputs'!$B$8+A1619*IF('Loan Inputs'!$B$14=26,14,7)))</f>
        <v/>
      </c>
      <c r="C1619" s="2" t="str">
        <f t="shared" si="77"/>
        <v/>
      </c>
      <c r="D1619" s="2" t="str">
        <f>IF(A1619="","",MIN('Loan Inputs'!$B$17,C1619+E1619)+H1619)</f>
        <v/>
      </c>
      <c r="E1619" s="2" t="str">
        <f>IF(A1619="","",C1619*'Loan Inputs'!$B$15)</f>
        <v/>
      </c>
      <c r="F1619" s="2" t="str">
        <f t="shared" si="75"/>
        <v/>
      </c>
      <c r="G1619" s="2" t="str">
        <f t="shared" si="76"/>
        <v/>
      </c>
      <c r="H1619" s="2" t="str">
        <f>IF(A1619="","",MIN('Loan Inputs'!$B$18,MAX(0,C1619+E1619-'Loan Inputs'!$B$17)))</f>
        <v/>
      </c>
    </row>
    <row r="1620" spans="1:8" ht="22" customHeight="1">
      <c r="A1620" s="1" t="str">
        <f>IF(AND('Loan Inputs'!$B$12,1614&lt;=IF('Loan Inputs'!$B$12,'Loan Inputs'!$B$7,0)*'Loan Inputs'!$B$14+5*'Loan Inputs'!$B$14,ISNUMBER(G1619),G1619&gt;0),1614,"")</f>
        <v/>
      </c>
      <c r="B1620" s="4" t="str">
        <f>IF(A1620="","",IF('Loan Inputs'!$B$14=12,DATE(YEAR('Loan Inputs'!$B$8),MONTH('Loan Inputs'!$B$8)+A1620,DAY('Loan Inputs'!$B$8)),'Loan Inputs'!$B$8+A1620*IF('Loan Inputs'!$B$14=26,14,7)))</f>
        <v/>
      </c>
      <c r="C1620" s="2" t="str">
        <f t="shared" si="77"/>
        <v/>
      </c>
      <c r="D1620" s="2" t="str">
        <f>IF(A1620="","",MIN('Loan Inputs'!$B$17,C1620+E1620)+H1620)</f>
        <v/>
      </c>
      <c r="E1620" s="2" t="str">
        <f>IF(A1620="","",C1620*'Loan Inputs'!$B$15)</f>
        <v/>
      </c>
      <c r="F1620" s="2" t="str">
        <f t="shared" si="75"/>
        <v/>
      </c>
      <c r="G1620" s="2" t="str">
        <f t="shared" si="76"/>
        <v/>
      </c>
      <c r="H1620" s="2" t="str">
        <f>IF(A1620="","",MIN('Loan Inputs'!$B$18,MAX(0,C1620+E1620-'Loan Inputs'!$B$17)))</f>
        <v/>
      </c>
    </row>
    <row r="1621" spans="1:8" ht="22" customHeight="1">
      <c r="A1621" s="1" t="str">
        <f>IF(AND('Loan Inputs'!$B$12,1615&lt;=IF('Loan Inputs'!$B$12,'Loan Inputs'!$B$7,0)*'Loan Inputs'!$B$14+5*'Loan Inputs'!$B$14,ISNUMBER(G1620),G1620&gt;0),1615,"")</f>
        <v/>
      </c>
      <c r="B1621" s="4" t="str">
        <f>IF(A1621="","",IF('Loan Inputs'!$B$14=12,DATE(YEAR('Loan Inputs'!$B$8),MONTH('Loan Inputs'!$B$8)+A1621,DAY('Loan Inputs'!$B$8)),'Loan Inputs'!$B$8+A1621*IF('Loan Inputs'!$B$14=26,14,7)))</f>
        <v/>
      </c>
      <c r="C1621" s="2" t="str">
        <f t="shared" si="77"/>
        <v/>
      </c>
      <c r="D1621" s="2" t="str">
        <f>IF(A1621="","",MIN('Loan Inputs'!$B$17,C1621+E1621)+H1621)</f>
        <v/>
      </c>
      <c r="E1621" s="2" t="str">
        <f>IF(A1621="","",C1621*'Loan Inputs'!$B$15)</f>
        <v/>
      </c>
      <c r="F1621" s="2" t="str">
        <f t="shared" si="75"/>
        <v/>
      </c>
      <c r="G1621" s="2" t="str">
        <f t="shared" si="76"/>
        <v/>
      </c>
      <c r="H1621" s="2" t="str">
        <f>IF(A1621="","",MIN('Loan Inputs'!$B$18,MAX(0,C1621+E1621-'Loan Inputs'!$B$17)))</f>
        <v/>
      </c>
    </row>
    <row r="1622" spans="1:8" ht="22" customHeight="1">
      <c r="A1622" s="1" t="str">
        <f>IF(AND('Loan Inputs'!$B$12,1616&lt;=IF('Loan Inputs'!$B$12,'Loan Inputs'!$B$7,0)*'Loan Inputs'!$B$14+5*'Loan Inputs'!$B$14,ISNUMBER(G1621),G1621&gt;0),1616,"")</f>
        <v/>
      </c>
      <c r="B1622" s="4" t="str">
        <f>IF(A1622="","",IF('Loan Inputs'!$B$14=12,DATE(YEAR('Loan Inputs'!$B$8),MONTH('Loan Inputs'!$B$8)+A1622,DAY('Loan Inputs'!$B$8)),'Loan Inputs'!$B$8+A1622*IF('Loan Inputs'!$B$14=26,14,7)))</f>
        <v/>
      </c>
      <c r="C1622" s="2" t="str">
        <f t="shared" si="77"/>
        <v/>
      </c>
      <c r="D1622" s="2" t="str">
        <f>IF(A1622="","",MIN('Loan Inputs'!$B$17,C1622+E1622)+H1622)</f>
        <v/>
      </c>
      <c r="E1622" s="2" t="str">
        <f>IF(A1622="","",C1622*'Loan Inputs'!$B$15)</f>
        <v/>
      </c>
      <c r="F1622" s="2" t="str">
        <f t="shared" si="75"/>
        <v/>
      </c>
      <c r="G1622" s="2" t="str">
        <f t="shared" si="76"/>
        <v/>
      </c>
      <c r="H1622" s="2" t="str">
        <f>IF(A1622="","",MIN('Loan Inputs'!$B$18,MAX(0,C1622+E1622-'Loan Inputs'!$B$17)))</f>
        <v/>
      </c>
    </row>
    <row r="1623" spans="1:8" ht="22" customHeight="1">
      <c r="A1623" s="1" t="str">
        <f>IF(AND('Loan Inputs'!$B$12,1617&lt;=IF('Loan Inputs'!$B$12,'Loan Inputs'!$B$7,0)*'Loan Inputs'!$B$14+5*'Loan Inputs'!$B$14,ISNUMBER(G1622),G1622&gt;0),1617,"")</f>
        <v/>
      </c>
      <c r="B1623" s="4" t="str">
        <f>IF(A1623="","",IF('Loan Inputs'!$B$14=12,DATE(YEAR('Loan Inputs'!$B$8),MONTH('Loan Inputs'!$B$8)+A1623,DAY('Loan Inputs'!$B$8)),'Loan Inputs'!$B$8+A1623*IF('Loan Inputs'!$B$14=26,14,7)))</f>
        <v/>
      </c>
      <c r="C1623" s="2" t="str">
        <f t="shared" si="77"/>
        <v/>
      </c>
      <c r="D1623" s="2" t="str">
        <f>IF(A1623="","",MIN('Loan Inputs'!$B$17,C1623+E1623)+H1623)</f>
        <v/>
      </c>
      <c r="E1623" s="2" t="str">
        <f>IF(A1623="","",C1623*'Loan Inputs'!$B$15)</f>
        <v/>
      </c>
      <c r="F1623" s="2" t="str">
        <f t="shared" si="75"/>
        <v/>
      </c>
      <c r="G1623" s="2" t="str">
        <f t="shared" si="76"/>
        <v/>
      </c>
      <c r="H1623" s="2" t="str">
        <f>IF(A1623="","",MIN('Loan Inputs'!$B$18,MAX(0,C1623+E1623-'Loan Inputs'!$B$17)))</f>
        <v/>
      </c>
    </row>
    <row r="1624" spans="1:8" ht="22" customHeight="1">
      <c r="A1624" s="1" t="str">
        <f>IF(AND('Loan Inputs'!$B$12,1618&lt;=IF('Loan Inputs'!$B$12,'Loan Inputs'!$B$7,0)*'Loan Inputs'!$B$14+5*'Loan Inputs'!$B$14,ISNUMBER(G1623),G1623&gt;0),1618,"")</f>
        <v/>
      </c>
      <c r="B1624" s="4" t="str">
        <f>IF(A1624="","",IF('Loan Inputs'!$B$14=12,DATE(YEAR('Loan Inputs'!$B$8),MONTH('Loan Inputs'!$B$8)+A1624,DAY('Loan Inputs'!$B$8)),'Loan Inputs'!$B$8+A1624*IF('Loan Inputs'!$B$14=26,14,7)))</f>
        <v/>
      </c>
      <c r="C1624" s="2" t="str">
        <f t="shared" si="77"/>
        <v/>
      </c>
      <c r="D1624" s="2" t="str">
        <f>IF(A1624="","",MIN('Loan Inputs'!$B$17,C1624+E1624)+H1624)</f>
        <v/>
      </c>
      <c r="E1624" s="2" t="str">
        <f>IF(A1624="","",C1624*'Loan Inputs'!$B$15)</f>
        <v/>
      </c>
      <c r="F1624" s="2" t="str">
        <f t="shared" si="75"/>
        <v/>
      </c>
      <c r="G1624" s="2" t="str">
        <f t="shared" si="76"/>
        <v/>
      </c>
      <c r="H1624" s="2" t="str">
        <f>IF(A1624="","",MIN('Loan Inputs'!$B$18,MAX(0,C1624+E1624-'Loan Inputs'!$B$17)))</f>
        <v/>
      </c>
    </row>
    <row r="1625" spans="1:8" ht="22" customHeight="1">
      <c r="A1625" s="1" t="str">
        <f>IF(AND('Loan Inputs'!$B$12,1619&lt;=IF('Loan Inputs'!$B$12,'Loan Inputs'!$B$7,0)*'Loan Inputs'!$B$14+5*'Loan Inputs'!$B$14,ISNUMBER(G1624),G1624&gt;0),1619,"")</f>
        <v/>
      </c>
      <c r="B1625" s="4" t="str">
        <f>IF(A1625="","",IF('Loan Inputs'!$B$14=12,DATE(YEAR('Loan Inputs'!$B$8),MONTH('Loan Inputs'!$B$8)+A1625,DAY('Loan Inputs'!$B$8)),'Loan Inputs'!$B$8+A1625*IF('Loan Inputs'!$B$14=26,14,7)))</f>
        <v/>
      </c>
      <c r="C1625" s="2" t="str">
        <f t="shared" si="77"/>
        <v/>
      </c>
      <c r="D1625" s="2" t="str">
        <f>IF(A1625="","",MIN('Loan Inputs'!$B$17,C1625+E1625)+H1625)</f>
        <v/>
      </c>
      <c r="E1625" s="2" t="str">
        <f>IF(A1625="","",C1625*'Loan Inputs'!$B$15)</f>
        <v/>
      </c>
      <c r="F1625" s="2" t="str">
        <f t="shared" si="75"/>
        <v/>
      </c>
      <c r="G1625" s="2" t="str">
        <f t="shared" si="76"/>
        <v/>
      </c>
      <c r="H1625" s="2" t="str">
        <f>IF(A1625="","",MIN('Loan Inputs'!$B$18,MAX(0,C1625+E1625-'Loan Inputs'!$B$17)))</f>
        <v/>
      </c>
    </row>
    <row r="1626" spans="1:8" ht="22" customHeight="1">
      <c r="A1626" s="1" t="str">
        <f>IF(AND('Loan Inputs'!$B$12,1620&lt;=IF('Loan Inputs'!$B$12,'Loan Inputs'!$B$7,0)*'Loan Inputs'!$B$14+5*'Loan Inputs'!$B$14,ISNUMBER(G1625),G1625&gt;0),1620,"")</f>
        <v/>
      </c>
      <c r="B1626" s="4" t="str">
        <f>IF(A1626="","",IF('Loan Inputs'!$B$14=12,DATE(YEAR('Loan Inputs'!$B$8),MONTH('Loan Inputs'!$B$8)+A1626,DAY('Loan Inputs'!$B$8)),'Loan Inputs'!$B$8+A1626*IF('Loan Inputs'!$B$14=26,14,7)))</f>
        <v/>
      </c>
      <c r="C1626" s="2" t="str">
        <f t="shared" si="77"/>
        <v/>
      </c>
      <c r="D1626" s="2" t="str">
        <f>IF(A1626="","",MIN('Loan Inputs'!$B$17,C1626+E1626)+H1626)</f>
        <v/>
      </c>
      <c r="E1626" s="2" t="str">
        <f>IF(A1626="","",C1626*'Loan Inputs'!$B$15)</f>
        <v/>
      </c>
      <c r="F1626" s="2" t="str">
        <f t="shared" si="75"/>
        <v/>
      </c>
      <c r="G1626" s="2" t="str">
        <f t="shared" si="76"/>
        <v/>
      </c>
      <c r="H1626" s="2" t="str">
        <f>IF(A1626="","",MIN('Loan Inputs'!$B$18,MAX(0,C1626+E1626-'Loan Inputs'!$B$17)))</f>
        <v/>
      </c>
    </row>
    <row r="1627" spans="1:8" ht="22" customHeight="1">
      <c r="A1627" s="1" t="str">
        <f>IF(AND('Loan Inputs'!$B$12,1621&lt;=IF('Loan Inputs'!$B$12,'Loan Inputs'!$B$7,0)*'Loan Inputs'!$B$14+5*'Loan Inputs'!$B$14,ISNUMBER(G1626),G1626&gt;0),1621,"")</f>
        <v/>
      </c>
      <c r="B1627" s="4" t="str">
        <f>IF(A1627="","",IF('Loan Inputs'!$B$14=12,DATE(YEAR('Loan Inputs'!$B$8),MONTH('Loan Inputs'!$B$8)+A1627,DAY('Loan Inputs'!$B$8)),'Loan Inputs'!$B$8+A1627*IF('Loan Inputs'!$B$14=26,14,7)))</f>
        <v/>
      </c>
      <c r="C1627" s="2" t="str">
        <f t="shared" si="77"/>
        <v/>
      </c>
      <c r="D1627" s="2" t="str">
        <f>IF(A1627="","",MIN('Loan Inputs'!$B$17,C1627+E1627)+H1627)</f>
        <v/>
      </c>
      <c r="E1627" s="2" t="str">
        <f>IF(A1627="","",C1627*'Loan Inputs'!$B$15)</f>
        <v/>
      </c>
      <c r="F1627" s="2" t="str">
        <f t="shared" si="75"/>
        <v/>
      </c>
      <c r="G1627" s="2" t="str">
        <f t="shared" si="76"/>
        <v/>
      </c>
      <c r="H1627" s="2" t="str">
        <f>IF(A1627="","",MIN('Loan Inputs'!$B$18,MAX(0,C1627+E1627-'Loan Inputs'!$B$17)))</f>
        <v/>
      </c>
    </row>
    <row r="1628" spans="1:8" ht="22" customHeight="1">
      <c r="A1628" s="1" t="str">
        <f>IF(AND('Loan Inputs'!$B$12,1622&lt;=IF('Loan Inputs'!$B$12,'Loan Inputs'!$B$7,0)*'Loan Inputs'!$B$14+5*'Loan Inputs'!$B$14,ISNUMBER(G1627),G1627&gt;0),1622,"")</f>
        <v/>
      </c>
      <c r="B1628" s="4" t="str">
        <f>IF(A1628="","",IF('Loan Inputs'!$B$14=12,DATE(YEAR('Loan Inputs'!$B$8),MONTH('Loan Inputs'!$B$8)+A1628,DAY('Loan Inputs'!$B$8)),'Loan Inputs'!$B$8+A1628*IF('Loan Inputs'!$B$14=26,14,7)))</f>
        <v/>
      </c>
      <c r="C1628" s="2" t="str">
        <f t="shared" si="77"/>
        <v/>
      </c>
      <c r="D1628" s="2" t="str">
        <f>IF(A1628="","",MIN('Loan Inputs'!$B$17,C1628+E1628)+H1628)</f>
        <v/>
      </c>
      <c r="E1628" s="2" t="str">
        <f>IF(A1628="","",C1628*'Loan Inputs'!$B$15)</f>
        <v/>
      </c>
      <c r="F1628" s="2" t="str">
        <f t="shared" si="75"/>
        <v/>
      </c>
      <c r="G1628" s="2" t="str">
        <f t="shared" si="76"/>
        <v/>
      </c>
      <c r="H1628" s="2" t="str">
        <f>IF(A1628="","",MIN('Loan Inputs'!$B$18,MAX(0,C1628+E1628-'Loan Inputs'!$B$17)))</f>
        <v/>
      </c>
    </row>
    <row r="1629" spans="1:8" ht="22" customHeight="1">
      <c r="A1629" s="1" t="str">
        <f>IF(AND('Loan Inputs'!$B$12,1623&lt;=IF('Loan Inputs'!$B$12,'Loan Inputs'!$B$7,0)*'Loan Inputs'!$B$14+5*'Loan Inputs'!$B$14,ISNUMBER(G1628),G1628&gt;0),1623,"")</f>
        <v/>
      </c>
      <c r="B1629" s="4" t="str">
        <f>IF(A1629="","",IF('Loan Inputs'!$B$14=12,DATE(YEAR('Loan Inputs'!$B$8),MONTH('Loan Inputs'!$B$8)+A1629,DAY('Loan Inputs'!$B$8)),'Loan Inputs'!$B$8+A1629*IF('Loan Inputs'!$B$14=26,14,7)))</f>
        <v/>
      </c>
      <c r="C1629" s="2" t="str">
        <f t="shared" si="77"/>
        <v/>
      </c>
      <c r="D1629" s="2" t="str">
        <f>IF(A1629="","",MIN('Loan Inputs'!$B$17,C1629+E1629)+H1629)</f>
        <v/>
      </c>
      <c r="E1629" s="2" t="str">
        <f>IF(A1629="","",C1629*'Loan Inputs'!$B$15)</f>
        <v/>
      </c>
      <c r="F1629" s="2" t="str">
        <f t="shared" si="75"/>
        <v/>
      </c>
      <c r="G1629" s="2" t="str">
        <f t="shared" si="76"/>
        <v/>
      </c>
      <c r="H1629" s="2" t="str">
        <f>IF(A1629="","",MIN('Loan Inputs'!$B$18,MAX(0,C1629+E1629-'Loan Inputs'!$B$17)))</f>
        <v/>
      </c>
    </row>
    <row r="1630" spans="1:8" ht="22" customHeight="1">
      <c r="A1630" s="1" t="str">
        <f>IF(AND('Loan Inputs'!$B$12,1624&lt;=IF('Loan Inputs'!$B$12,'Loan Inputs'!$B$7,0)*'Loan Inputs'!$B$14+5*'Loan Inputs'!$B$14,ISNUMBER(G1629),G1629&gt;0),1624,"")</f>
        <v/>
      </c>
      <c r="B1630" s="4" t="str">
        <f>IF(A1630="","",IF('Loan Inputs'!$B$14=12,DATE(YEAR('Loan Inputs'!$B$8),MONTH('Loan Inputs'!$B$8)+A1630,DAY('Loan Inputs'!$B$8)),'Loan Inputs'!$B$8+A1630*IF('Loan Inputs'!$B$14=26,14,7)))</f>
        <v/>
      </c>
      <c r="C1630" s="2" t="str">
        <f t="shared" si="77"/>
        <v/>
      </c>
      <c r="D1630" s="2" t="str">
        <f>IF(A1630="","",MIN('Loan Inputs'!$B$17,C1630+E1630)+H1630)</f>
        <v/>
      </c>
      <c r="E1630" s="2" t="str">
        <f>IF(A1630="","",C1630*'Loan Inputs'!$B$15)</f>
        <v/>
      </c>
      <c r="F1630" s="2" t="str">
        <f t="shared" si="75"/>
        <v/>
      </c>
      <c r="G1630" s="2" t="str">
        <f t="shared" si="76"/>
        <v/>
      </c>
      <c r="H1630" s="2" t="str">
        <f>IF(A1630="","",MIN('Loan Inputs'!$B$18,MAX(0,C1630+E1630-'Loan Inputs'!$B$17)))</f>
        <v/>
      </c>
    </row>
    <row r="1631" spans="1:8" ht="22" customHeight="1">
      <c r="A1631" s="1" t="str">
        <f>IF(AND('Loan Inputs'!$B$12,1625&lt;=IF('Loan Inputs'!$B$12,'Loan Inputs'!$B$7,0)*'Loan Inputs'!$B$14+5*'Loan Inputs'!$B$14,ISNUMBER(G1630),G1630&gt;0),1625,"")</f>
        <v/>
      </c>
      <c r="B1631" s="4" t="str">
        <f>IF(A1631="","",IF('Loan Inputs'!$B$14=12,DATE(YEAR('Loan Inputs'!$B$8),MONTH('Loan Inputs'!$B$8)+A1631,DAY('Loan Inputs'!$B$8)),'Loan Inputs'!$B$8+A1631*IF('Loan Inputs'!$B$14=26,14,7)))</f>
        <v/>
      </c>
      <c r="C1631" s="2" t="str">
        <f t="shared" si="77"/>
        <v/>
      </c>
      <c r="D1631" s="2" t="str">
        <f>IF(A1631="","",MIN('Loan Inputs'!$B$17,C1631+E1631)+H1631)</f>
        <v/>
      </c>
      <c r="E1631" s="2" t="str">
        <f>IF(A1631="","",C1631*'Loan Inputs'!$B$15)</f>
        <v/>
      </c>
      <c r="F1631" s="2" t="str">
        <f t="shared" si="75"/>
        <v/>
      </c>
      <c r="G1631" s="2" t="str">
        <f t="shared" si="76"/>
        <v/>
      </c>
      <c r="H1631" s="2" t="str">
        <f>IF(A1631="","",MIN('Loan Inputs'!$B$18,MAX(0,C1631+E1631-'Loan Inputs'!$B$17)))</f>
        <v/>
      </c>
    </row>
    <row r="1632" spans="1:8" ht="22" customHeight="1">
      <c r="A1632" s="1" t="str">
        <f>IF(AND('Loan Inputs'!$B$12,1626&lt;=IF('Loan Inputs'!$B$12,'Loan Inputs'!$B$7,0)*'Loan Inputs'!$B$14+5*'Loan Inputs'!$B$14,ISNUMBER(G1631),G1631&gt;0),1626,"")</f>
        <v/>
      </c>
      <c r="B1632" s="4" t="str">
        <f>IF(A1632="","",IF('Loan Inputs'!$B$14=12,DATE(YEAR('Loan Inputs'!$B$8),MONTH('Loan Inputs'!$B$8)+A1632,DAY('Loan Inputs'!$B$8)),'Loan Inputs'!$B$8+A1632*IF('Loan Inputs'!$B$14=26,14,7)))</f>
        <v/>
      </c>
      <c r="C1632" s="2" t="str">
        <f t="shared" si="77"/>
        <v/>
      </c>
      <c r="D1632" s="2" t="str">
        <f>IF(A1632="","",MIN('Loan Inputs'!$B$17,C1632+E1632)+H1632)</f>
        <v/>
      </c>
      <c r="E1632" s="2" t="str">
        <f>IF(A1632="","",C1632*'Loan Inputs'!$B$15)</f>
        <v/>
      </c>
      <c r="F1632" s="2" t="str">
        <f t="shared" si="75"/>
        <v/>
      </c>
      <c r="G1632" s="2" t="str">
        <f t="shared" si="76"/>
        <v/>
      </c>
      <c r="H1632" s="2" t="str">
        <f>IF(A1632="","",MIN('Loan Inputs'!$B$18,MAX(0,C1632+E1632-'Loan Inputs'!$B$17)))</f>
        <v/>
      </c>
    </row>
    <row r="1633" spans="1:8" ht="22" customHeight="1">
      <c r="A1633" s="1" t="str">
        <f>IF(AND('Loan Inputs'!$B$12,1627&lt;=IF('Loan Inputs'!$B$12,'Loan Inputs'!$B$7,0)*'Loan Inputs'!$B$14+5*'Loan Inputs'!$B$14,ISNUMBER(G1632),G1632&gt;0),1627,"")</f>
        <v/>
      </c>
      <c r="B1633" s="4" t="str">
        <f>IF(A1633="","",IF('Loan Inputs'!$B$14=12,DATE(YEAR('Loan Inputs'!$B$8),MONTH('Loan Inputs'!$B$8)+A1633,DAY('Loan Inputs'!$B$8)),'Loan Inputs'!$B$8+A1633*IF('Loan Inputs'!$B$14=26,14,7)))</f>
        <v/>
      </c>
      <c r="C1633" s="2" t="str">
        <f t="shared" si="77"/>
        <v/>
      </c>
      <c r="D1633" s="2" t="str">
        <f>IF(A1633="","",MIN('Loan Inputs'!$B$17,C1633+E1633)+H1633)</f>
        <v/>
      </c>
      <c r="E1633" s="2" t="str">
        <f>IF(A1633="","",C1633*'Loan Inputs'!$B$15)</f>
        <v/>
      </c>
      <c r="F1633" s="2" t="str">
        <f t="shared" si="75"/>
        <v/>
      </c>
      <c r="G1633" s="2" t="str">
        <f t="shared" si="76"/>
        <v/>
      </c>
      <c r="H1633" s="2" t="str">
        <f>IF(A1633="","",MIN('Loan Inputs'!$B$18,MAX(0,C1633+E1633-'Loan Inputs'!$B$17)))</f>
        <v/>
      </c>
    </row>
    <row r="1634" spans="1:8" ht="22" customHeight="1">
      <c r="A1634" s="1" t="str">
        <f>IF(AND('Loan Inputs'!$B$12,1628&lt;=IF('Loan Inputs'!$B$12,'Loan Inputs'!$B$7,0)*'Loan Inputs'!$B$14+5*'Loan Inputs'!$B$14,ISNUMBER(G1633),G1633&gt;0),1628,"")</f>
        <v/>
      </c>
      <c r="B1634" s="4" t="str">
        <f>IF(A1634="","",IF('Loan Inputs'!$B$14=12,DATE(YEAR('Loan Inputs'!$B$8),MONTH('Loan Inputs'!$B$8)+A1634,DAY('Loan Inputs'!$B$8)),'Loan Inputs'!$B$8+A1634*IF('Loan Inputs'!$B$14=26,14,7)))</f>
        <v/>
      </c>
      <c r="C1634" s="2" t="str">
        <f t="shared" si="77"/>
        <v/>
      </c>
      <c r="D1634" s="2" t="str">
        <f>IF(A1634="","",MIN('Loan Inputs'!$B$17,C1634+E1634)+H1634)</f>
        <v/>
      </c>
      <c r="E1634" s="2" t="str">
        <f>IF(A1634="","",C1634*'Loan Inputs'!$B$15)</f>
        <v/>
      </c>
      <c r="F1634" s="2" t="str">
        <f t="shared" si="75"/>
        <v/>
      </c>
      <c r="G1634" s="2" t="str">
        <f t="shared" si="76"/>
        <v/>
      </c>
      <c r="H1634" s="2" t="str">
        <f>IF(A1634="","",MIN('Loan Inputs'!$B$18,MAX(0,C1634+E1634-'Loan Inputs'!$B$17)))</f>
        <v/>
      </c>
    </row>
    <row r="1635" spans="1:8" ht="22" customHeight="1">
      <c r="A1635" s="1" t="str">
        <f>IF(AND('Loan Inputs'!$B$12,1629&lt;=IF('Loan Inputs'!$B$12,'Loan Inputs'!$B$7,0)*'Loan Inputs'!$B$14+5*'Loan Inputs'!$B$14,ISNUMBER(G1634),G1634&gt;0),1629,"")</f>
        <v/>
      </c>
      <c r="B1635" s="4" t="str">
        <f>IF(A1635="","",IF('Loan Inputs'!$B$14=12,DATE(YEAR('Loan Inputs'!$B$8),MONTH('Loan Inputs'!$B$8)+A1635,DAY('Loan Inputs'!$B$8)),'Loan Inputs'!$B$8+A1635*IF('Loan Inputs'!$B$14=26,14,7)))</f>
        <v/>
      </c>
      <c r="C1635" s="2" t="str">
        <f t="shared" si="77"/>
        <v/>
      </c>
      <c r="D1635" s="2" t="str">
        <f>IF(A1635="","",MIN('Loan Inputs'!$B$17,C1635+E1635)+H1635)</f>
        <v/>
      </c>
      <c r="E1635" s="2" t="str">
        <f>IF(A1635="","",C1635*'Loan Inputs'!$B$15)</f>
        <v/>
      </c>
      <c r="F1635" s="2" t="str">
        <f t="shared" si="75"/>
        <v/>
      </c>
      <c r="G1635" s="2" t="str">
        <f t="shared" si="76"/>
        <v/>
      </c>
      <c r="H1635" s="2" t="str">
        <f>IF(A1635="","",MIN('Loan Inputs'!$B$18,MAX(0,C1635+E1635-'Loan Inputs'!$B$17)))</f>
        <v/>
      </c>
    </row>
    <row r="1636" spans="1:8" ht="22" customHeight="1">
      <c r="A1636" s="1" t="str">
        <f>IF(AND('Loan Inputs'!$B$12,1630&lt;=IF('Loan Inputs'!$B$12,'Loan Inputs'!$B$7,0)*'Loan Inputs'!$B$14+5*'Loan Inputs'!$B$14,ISNUMBER(G1635),G1635&gt;0),1630,"")</f>
        <v/>
      </c>
      <c r="B1636" s="4" t="str">
        <f>IF(A1636="","",IF('Loan Inputs'!$B$14=12,DATE(YEAR('Loan Inputs'!$B$8),MONTH('Loan Inputs'!$B$8)+A1636,DAY('Loan Inputs'!$B$8)),'Loan Inputs'!$B$8+A1636*IF('Loan Inputs'!$B$14=26,14,7)))</f>
        <v/>
      </c>
      <c r="C1636" s="2" t="str">
        <f t="shared" si="77"/>
        <v/>
      </c>
      <c r="D1636" s="2" t="str">
        <f>IF(A1636="","",MIN('Loan Inputs'!$B$17,C1636+E1636)+H1636)</f>
        <v/>
      </c>
      <c r="E1636" s="2" t="str">
        <f>IF(A1636="","",C1636*'Loan Inputs'!$B$15)</f>
        <v/>
      </c>
      <c r="F1636" s="2" t="str">
        <f t="shared" si="75"/>
        <v/>
      </c>
      <c r="G1636" s="2" t="str">
        <f t="shared" si="76"/>
        <v/>
      </c>
      <c r="H1636" s="2" t="str">
        <f>IF(A1636="","",MIN('Loan Inputs'!$B$18,MAX(0,C1636+E1636-'Loan Inputs'!$B$17)))</f>
        <v/>
      </c>
    </row>
    <row r="1637" spans="1:8" ht="22" customHeight="1">
      <c r="A1637" s="1" t="str">
        <f>IF(AND('Loan Inputs'!$B$12,1631&lt;=IF('Loan Inputs'!$B$12,'Loan Inputs'!$B$7,0)*'Loan Inputs'!$B$14+5*'Loan Inputs'!$B$14,ISNUMBER(G1636),G1636&gt;0),1631,"")</f>
        <v/>
      </c>
      <c r="B1637" s="4" t="str">
        <f>IF(A1637="","",IF('Loan Inputs'!$B$14=12,DATE(YEAR('Loan Inputs'!$B$8),MONTH('Loan Inputs'!$B$8)+A1637,DAY('Loan Inputs'!$B$8)),'Loan Inputs'!$B$8+A1637*IF('Loan Inputs'!$B$14=26,14,7)))</f>
        <v/>
      </c>
      <c r="C1637" s="2" t="str">
        <f t="shared" si="77"/>
        <v/>
      </c>
      <c r="D1637" s="2" t="str">
        <f>IF(A1637="","",MIN('Loan Inputs'!$B$17,C1637+E1637)+H1637)</f>
        <v/>
      </c>
      <c r="E1637" s="2" t="str">
        <f>IF(A1637="","",C1637*'Loan Inputs'!$B$15)</f>
        <v/>
      </c>
      <c r="F1637" s="2" t="str">
        <f t="shared" si="75"/>
        <v/>
      </c>
      <c r="G1637" s="2" t="str">
        <f t="shared" si="76"/>
        <v/>
      </c>
      <c r="H1637" s="2" t="str">
        <f>IF(A1637="","",MIN('Loan Inputs'!$B$18,MAX(0,C1637+E1637-'Loan Inputs'!$B$17)))</f>
        <v/>
      </c>
    </row>
    <row r="1638" spans="1:8" ht="22" customHeight="1">
      <c r="A1638" s="1" t="str">
        <f>IF(AND('Loan Inputs'!$B$12,1632&lt;=IF('Loan Inputs'!$B$12,'Loan Inputs'!$B$7,0)*'Loan Inputs'!$B$14+5*'Loan Inputs'!$B$14,ISNUMBER(G1637),G1637&gt;0),1632,"")</f>
        <v/>
      </c>
      <c r="B1638" s="4" t="str">
        <f>IF(A1638="","",IF('Loan Inputs'!$B$14=12,DATE(YEAR('Loan Inputs'!$B$8),MONTH('Loan Inputs'!$B$8)+A1638,DAY('Loan Inputs'!$B$8)),'Loan Inputs'!$B$8+A1638*IF('Loan Inputs'!$B$14=26,14,7)))</f>
        <v/>
      </c>
      <c r="C1638" s="2" t="str">
        <f t="shared" si="77"/>
        <v/>
      </c>
      <c r="D1638" s="2" t="str">
        <f>IF(A1638="","",MIN('Loan Inputs'!$B$17,C1638+E1638)+H1638)</f>
        <v/>
      </c>
      <c r="E1638" s="2" t="str">
        <f>IF(A1638="","",C1638*'Loan Inputs'!$B$15)</f>
        <v/>
      </c>
      <c r="F1638" s="2" t="str">
        <f t="shared" si="75"/>
        <v/>
      </c>
      <c r="G1638" s="2" t="str">
        <f t="shared" si="76"/>
        <v/>
      </c>
      <c r="H1638" s="2" t="str">
        <f>IF(A1638="","",MIN('Loan Inputs'!$B$18,MAX(0,C1638+E1638-'Loan Inputs'!$B$17)))</f>
        <v/>
      </c>
    </row>
    <row r="1639" spans="1:8" ht="22" customHeight="1">
      <c r="A1639" s="1" t="str">
        <f>IF(AND('Loan Inputs'!$B$12,1633&lt;=IF('Loan Inputs'!$B$12,'Loan Inputs'!$B$7,0)*'Loan Inputs'!$B$14+5*'Loan Inputs'!$B$14,ISNUMBER(G1638),G1638&gt;0),1633,"")</f>
        <v/>
      </c>
      <c r="B1639" s="4" t="str">
        <f>IF(A1639="","",IF('Loan Inputs'!$B$14=12,DATE(YEAR('Loan Inputs'!$B$8),MONTH('Loan Inputs'!$B$8)+A1639,DAY('Loan Inputs'!$B$8)),'Loan Inputs'!$B$8+A1639*IF('Loan Inputs'!$B$14=26,14,7)))</f>
        <v/>
      </c>
      <c r="C1639" s="2" t="str">
        <f t="shared" si="77"/>
        <v/>
      </c>
      <c r="D1639" s="2" t="str">
        <f>IF(A1639="","",MIN('Loan Inputs'!$B$17,C1639+E1639)+H1639)</f>
        <v/>
      </c>
      <c r="E1639" s="2" t="str">
        <f>IF(A1639="","",C1639*'Loan Inputs'!$B$15)</f>
        <v/>
      </c>
      <c r="F1639" s="2" t="str">
        <f t="shared" si="75"/>
        <v/>
      </c>
      <c r="G1639" s="2" t="str">
        <f t="shared" si="76"/>
        <v/>
      </c>
      <c r="H1639" s="2" t="str">
        <f>IF(A1639="","",MIN('Loan Inputs'!$B$18,MAX(0,C1639+E1639-'Loan Inputs'!$B$17)))</f>
        <v/>
      </c>
    </row>
    <row r="1640" spans="1:8" ht="22" customHeight="1">
      <c r="A1640" s="1" t="str">
        <f>IF(AND('Loan Inputs'!$B$12,1634&lt;=IF('Loan Inputs'!$B$12,'Loan Inputs'!$B$7,0)*'Loan Inputs'!$B$14+5*'Loan Inputs'!$B$14,ISNUMBER(G1639),G1639&gt;0),1634,"")</f>
        <v/>
      </c>
      <c r="B1640" s="4" t="str">
        <f>IF(A1640="","",IF('Loan Inputs'!$B$14=12,DATE(YEAR('Loan Inputs'!$B$8),MONTH('Loan Inputs'!$B$8)+A1640,DAY('Loan Inputs'!$B$8)),'Loan Inputs'!$B$8+A1640*IF('Loan Inputs'!$B$14=26,14,7)))</f>
        <v/>
      </c>
      <c r="C1640" s="2" t="str">
        <f t="shared" si="77"/>
        <v/>
      </c>
      <c r="D1640" s="2" t="str">
        <f>IF(A1640="","",MIN('Loan Inputs'!$B$17,C1640+E1640)+H1640)</f>
        <v/>
      </c>
      <c r="E1640" s="2" t="str">
        <f>IF(A1640="","",C1640*'Loan Inputs'!$B$15)</f>
        <v/>
      </c>
      <c r="F1640" s="2" t="str">
        <f t="shared" si="75"/>
        <v/>
      </c>
      <c r="G1640" s="2" t="str">
        <f t="shared" si="76"/>
        <v/>
      </c>
      <c r="H1640" s="2" t="str">
        <f>IF(A1640="","",MIN('Loan Inputs'!$B$18,MAX(0,C1640+E1640-'Loan Inputs'!$B$17)))</f>
        <v/>
      </c>
    </row>
    <row r="1641" spans="1:8" ht="22" customHeight="1">
      <c r="A1641" s="1" t="str">
        <f>IF(AND('Loan Inputs'!$B$12,1635&lt;=IF('Loan Inputs'!$B$12,'Loan Inputs'!$B$7,0)*'Loan Inputs'!$B$14+5*'Loan Inputs'!$B$14,ISNUMBER(G1640),G1640&gt;0),1635,"")</f>
        <v/>
      </c>
      <c r="B1641" s="4" t="str">
        <f>IF(A1641="","",IF('Loan Inputs'!$B$14=12,DATE(YEAR('Loan Inputs'!$B$8),MONTH('Loan Inputs'!$B$8)+A1641,DAY('Loan Inputs'!$B$8)),'Loan Inputs'!$B$8+A1641*IF('Loan Inputs'!$B$14=26,14,7)))</f>
        <v/>
      </c>
      <c r="C1641" s="2" t="str">
        <f t="shared" si="77"/>
        <v/>
      </c>
      <c r="D1641" s="2" t="str">
        <f>IF(A1641="","",MIN('Loan Inputs'!$B$17,C1641+E1641)+H1641)</f>
        <v/>
      </c>
      <c r="E1641" s="2" t="str">
        <f>IF(A1641="","",C1641*'Loan Inputs'!$B$15)</f>
        <v/>
      </c>
      <c r="F1641" s="2" t="str">
        <f t="shared" si="75"/>
        <v/>
      </c>
      <c r="G1641" s="2" t="str">
        <f t="shared" si="76"/>
        <v/>
      </c>
      <c r="H1641" s="2" t="str">
        <f>IF(A1641="","",MIN('Loan Inputs'!$B$18,MAX(0,C1641+E1641-'Loan Inputs'!$B$17)))</f>
        <v/>
      </c>
    </row>
    <row r="1642" spans="1:8" ht="22" customHeight="1">
      <c r="A1642" s="1" t="str">
        <f>IF(AND('Loan Inputs'!$B$12,1636&lt;=IF('Loan Inputs'!$B$12,'Loan Inputs'!$B$7,0)*'Loan Inputs'!$B$14+5*'Loan Inputs'!$B$14,ISNUMBER(G1641),G1641&gt;0),1636,"")</f>
        <v/>
      </c>
      <c r="B1642" s="4" t="str">
        <f>IF(A1642="","",IF('Loan Inputs'!$B$14=12,DATE(YEAR('Loan Inputs'!$B$8),MONTH('Loan Inputs'!$B$8)+A1642,DAY('Loan Inputs'!$B$8)),'Loan Inputs'!$B$8+A1642*IF('Loan Inputs'!$B$14=26,14,7)))</f>
        <v/>
      </c>
      <c r="C1642" s="2" t="str">
        <f t="shared" si="77"/>
        <v/>
      </c>
      <c r="D1642" s="2" t="str">
        <f>IF(A1642="","",MIN('Loan Inputs'!$B$17,C1642+E1642)+H1642)</f>
        <v/>
      </c>
      <c r="E1642" s="2" t="str">
        <f>IF(A1642="","",C1642*'Loan Inputs'!$B$15)</f>
        <v/>
      </c>
      <c r="F1642" s="2" t="str">
        <f t="shared" si="75"/>
        <v/>
      </c>
      <c r="G1642" s="2" t="str">
        <f t="shared" si="76"/>
        <v/>
      </c>
      <c r="H1642" s="2" t="str">
        <f>IF(A1642="","",MIN('Loan Inputs'!$B$18,MAX(0,C1642+E1642-'Loan Inputs'!$B$17)))</f>
        <v/>
      </c>
    </row>
    <row r="1643" spans="1:8" ht="22" customHeight="1">
      <c r="A1643" s="1" t="str">
        <f>IF(AND('Loan Inputs'!$B$12,1637&lt;=IF('Loan Inputs'!$B$12,'Loan Inputs'!$B$7,0)*'Loan Inputs'!$B$14+5*'Loan Inputs'!$B$14,ISNUMBER(G1642),G1642&gt;0),1637,"")</f>
        <v/>
      </c>
      <c r="B1643" s="4" t="str">
        <f>IF(A1643="","",IF('Loan Inputs'!$B$14=12,DATE(YEAR('Loan Inputs'!$B$8),MONTH('Loan Inputs'!$B$8)+A1643,DAY('Loan Inputs'!$B$8)),'Loan Inputs'!$B$8+A1643*IF('Loan Inputs'!$B$14=26,14,7)))</f>
        <v/>
      </c>
      <c r="C1643" s="2" t="str">
        <f t="shared" si="77"/>
        <v/>
      </c>
      <c r="D1643" s="2" t="str">
        <f>IF(A1643="","",MIN('Loan Inputs'!$B$17,C1643+E1643)+H1643)</f>
        <v/>
      </c>
      <c r="E1643" s="2" t="str">
        <f>IF(A1643="","",C1643*'Loan Inputs'!$B$15)</f>
        <v/>
      </c>
      <c r="F1643" s="2" t="str">
        <f t="shared" si="75"/>
        <v/>
      </c>
      <c r="G1643" s="2" t="str">
        <f t="shared" si="76"/>
        <v/>
      </c>
      <c r="H1643" s="2" t="str">
        <f>IF(A1643="","",MIN('Loan Inputs'!$B$18,MAX(0,C1643+E1643-'Loan Inputs'!$B$17)))</f>
        <v/>
      </c>
    </row>
    <row r="1644" spans="1:8" ht="22" customHeight="1">
      <c r="A1644" s="1" t="str">
        <f>IF(AND('Loan Inputs'!$B$12,1638&lt;=IF('Loan Inputs'!$B$12,'Loan Inputs'!$B$7,0)*'Loan Inputs'!$B$14+5*'Loan Inputs'!$B$14,ISNUMBER(G1643),G1643&gt;0),1638,"")</f>
        <v/>
      </c>
      <c r="B1644" s="4" t="str">
        <f>IF(A1644="","",IF('Loan Inputs'!$B$14=12,DATE(YEAR('Loan Inputs'!$B$8),MONTH('Loan Inputs'!$B$8)+A1644,DAY('Loan Inputs'!$B$8)),'Loan Inputs'!$B$8+A1644*IF('Loan Inputs'!$B$14=26,14,7)))</f>
        <v/>
      </c>
      <c r="C1644" s="2" t="str">
        <f t="shared" si="77"/>
        <v/>
      </c>
      <c r="D1644" s="2" t="str">
        <f>IF(A1644="","",MIN('Loan Inputs'!$B$17,C1644+E1644)+H1644)</f>
        <v/>
      </c>
      <c r="E1644" s="2" t="str">
        <f>IF(A1644="","",C1644*'Loan Inputs'!$B$15)</f>
        <v/>
      </c>
      <c r="F1644" s="2" t="str">
        <f t="shared" si="75"/>
        <v/>
      </c>
      <c r="G1644" s="2" t="str">
        <f t="shared" si="76"/>
        <v/>
      </c>
      <c r="H1644" s="2" t="str">
        <f>IF(A1644="","",MIN('Loan Inputs'!$B$18,MAX(0,C1644+E1644-'Loan Inputs'!$B$17)))</f>
        <v/>
      </c>
    </row>
    <row r="1645" spans="1:8" ht="22" customHeight="1">
      <c r="A1645" s="1" t="str">
        <f>IF(AND('Loan Inputs'!$B$12,1639&lt;=IF('Loan Inputs'!$B$12,'Loan Inputs'!$B$7,0)*'Loan Inputs'!$B$14+5*'Loan Inputs'!$B$14,ISNUMBER(G1644),G1644&gt;0),1639,"")</f>
        <v/>
      </c>
      <c r="B1645" s="4" t="str">
        <f>IF(A1645="","",IF('Loan Inputs'!$B$14=12,DATE(YEAR('Loan Inputs'!$B$8),MONTH('Loan Inputs'!$B$8)+A1645,DAY('Loan Inputs'!$B$8)),'Loan Inputs'!$B$8+A1645*IF('Loan Inputs'!$B$14=26,14,7)))</f>
        <v/>
      </c>
      <c r="C1645" s="2" t="str">
        <f t="shared" si="77"/>
        <v/>
      </c>
      <c r="D1645" s="2" t="str">
        <f>IF(A1645="","",MIN('Loan Inputs'!$B$17,C1645+E1645)+H1645)</f>
        <v/>
      </c>
      <c r="E1645" s="2" t="str">
        <f>IF(A1645="","",C1645*'Loan Inputs'!$B$15)</f>
        <v/>
      </c>
      <c r="F1645" s="2" t="str">
        <f t="shared" si="75"/>
        <v/>
      </c>
      <c r="G1645" s="2" t="str">
        <f t="shared" si="76"/>
        <v/>
      </c>
      <c r="H1645" s="2" t="str">
        <f>IF(A1645="","",MIN('Loan Inputs'!$B$18,MAX(0,C1645+E1645-'Loan Inputs'!$B$17)))</f>
        <v/>
      </c>
    </row>
    <row r="1646" spans="1:8" ht="22" customHeight="1">
      <c r="A1646" s="1" t="str">
        <f>IF(AND('Loan Inputs'!$B$12,1640&lt;=IF('Loan Inputs'!$B$12,'Loan Inputs'!$B$7,0)*'Loan Inputs'!$B$14+5*'Loan Inputs'!$B$14,ISNUMBER(G1645),G1645&gt;0),1640,"")</f>
        <v/>
      </c>
      <c r="B1646" s="4" t="str">
        <f>IF(A1646="","",IF('Loan Inputs'!$B$14=12,DATE(YEAR('Loan Inputs'!$B$8),MONTH('Loan Inputs'!$B$8)+A1646,DAY('Loan Inputs'!$B$8)),'Loan Inputs'!$B$8+A1646*IF('Loan Inputs'!$B$14=26,14,7)))</f>
        <v/>
      </c>
      <c r="C1646" s="2" t="str">
        <f t="shared" si="77"/>
        <v/>
      </c>
      <c r="D1646" s="2" t="str">
        <f>IF(A1646="","",MIN('Loan Inputs'!$B$17,C1646+E1646)+H1646)</f>
        <v/>
      </c>
      <c r="E1646" s="2" t="str">
        <f>IF(A1646="","",C1646*'Loan Inputs'!$B$15)</f>
        <v/>
      </c>
      <c r="F1646" s="2" t="str">
        <f t="shared" si="75"/>
        <v/>
      </c>
      <c r="G1646" s="2" t="str">
        <f t="shared" si="76"/>
        <v/>
      </c>
      <c r="H1646" s="2" t="str">
        <f>IF(A1646="","",MIN('Loan Inputs'!$B$18,MAX(0,C1646+E1646-'Loan Inputs'!$B$17)))</f>
        <v/>
      </c>
    </row>
    <row r="1647" spans="1:8" ht="22" customHeight="1">
      <c r="A1647" s="1" t="str">
        <f>IF(AND('Loan Inputs'!$B$12,1641&lt;=IF('Loan Inputs'!$B$12,'Loan Inputs'!$B$7,0)*'Loan Inputs'!$B$14+5*'Loan Inputs'!$B$14,ISNUMBER(G1646),G1646&gt;0),1641,"")</f>
        <v/>
      </c>
      <c r="B1647" s="4" t="str">
        <f>IF(A1647="","",IF('Loan Inputs'!$B$14=12,DATE(YEAR('Loan Inputs'!$B$8),MONTH('Loan Inputs'!$B$8)+A1647,DAY('Loan Inputs'!$B$8)),'Loan Inputs'!$B$8+A1647*IF('Loan Inputs'!$B$14=26,14,7)))</f>
        <v/>
      </c>
      <c r="C1647" s="2" t="str">
        <f t="shared" si="77"/>
        <v/>
      </c>
      <c r="D1647" s="2" t="str">
        <f>IF(A1647="","",MIN('Loan Inputs'!$B$17,C1647+E1647)+H1647)</f>
        <v/>
      </c>
      <c r="E1647" s="2" t="str">
        <f>IF(A1647="","",C1647*'Loan Inputs'!$B$15)</f>
        <v/>
      </c>
      <c r="F1647" s="2" t="str">
        <f t="shared" si="75"/>
        <v/>
      </c>
      <c r="G1647" s="2" t="str">
        <f t="shared" si="76"/>
        <v/>
      </c>
      <c r="H1647" s="2" t="str">
        <f>IF(A1647="","",MIN('Loan Inputs'!$B$18,MAX(0,C1647+E1647-'Loan Inputs'!$B$17)))</f>
        <v/>
      </c>
    </row>
    <row r="1648" spans="1:8" ht="22" customHeight="1">
      <c r="A1648" s="1" t="str">
        <f>IF(AND('Loan Inputs'!$B$12,1642&lt;=IF('Loan Inputs'!$B$12,'Loan Inputs'!$B$7,0)*'Loan Inputs'!$B$14+5*'Loan Inputs'!$B$14,ISNUMBER(G1647),G1647&gt;0),1642,"")</f>
        <v/>
      </c>
      <c r="B1648" s="4" t="str">
        <f>IF(A1648="","",IF('Loan Inputs'!$B$14=12,DATE(YEAR('Loan Inputs'!$B$8),MONTH('Loan Inputs'!$B$8)+A1648,DAY('Loan Inputs'!$B$8)),'Loan Inputs'!$B$8+A1648*IF('Loan Inputs'!$B$14=26,14,7)))</f>
        <v/>
      </c>
      <c r="C1648" s="2" t="str">
        <f t="shared" si="77"/>
        <v/>
      </c>
      <c r="D1648" s="2" t="str">
        <f>IF(A1648="","",MIN('Loan Inputs'!$B$17,C1648+E1648)+H1648)</f>
        <v/>
      </c>
      <c r="E1648" s="2" t="str">
        <f>IF(A1648="","",C1648*'Loan Inputs'!$B$15)</f>
        <v/>
      </c>
      <c r="F1648" s="2" t="str">
        <f t="shared" si="75"/>
        <v/>
      </c>
      <c r="G1648" s="2" t="str">
        <f t="shared" si="76"/>
        <v/>
      </c>
      <c r="H1648" s="2" t="str">
        <f>IF(A1648="","",MIN('Loan Inputs'!$B$18,MAX(0,C1648+E1648-'Loan Inputs'!$B$17)))</f>
        <v/>
      </c>
    </row>
    <row r="1649" spans="1:8" ht="22" customHeight="1">
      <c r="A1649" s="1" t="str">
        <f>IF(AND('Loan Inputs'!$B$12,1643&lt;=IF('Loan Inputs'!$B$12,'Loan Inputs'!$B$7,0)*'Loan Inputs'!$B$14+5*'Loan Inputs'!$B$14,ISNUMBER(G1648),G1648&gt;0),1643,"")</f>
        <v/>
      </c>
      <c r="B1649" s="4" t="str">
        <f>IF(A1649="","",IF('Loan Inputs'!$B$14=12,DATE(YEAR('Loan Inputs'!$B$8),MONTH('Loan Inputs'!$B$8)+A1649,DAY('Loan Inputs'!$B$8)),'Loan Inputs'!$B$8+A1649*IF('Loan Inputs'!$B$14=26,14,7)))</f>
        <v/>
      </c>
      <c r="C1649" s="2" t="str">
        <f t="shared" si="77"/>
        <v/>
      </c>
      <c r="D1649" s="2" t="str">
        <f>IF(A1649="","",MIN('Loan Inputs'!$B$17,C1649+E1649)+H1649)</f>
        <v/>
      </c>
      <c r="E1649" s="2" t="str">
        <f>IF(A1649="","",C1649*'Loan Inputs'!$B$15)</f>
        <v/>
      </c>
      <c r="F1649" s="2" t="str">
        <f t="shared" si="75"/>
        <v/>
      </c>
      <c r="G1649" s="2" t="str">
        <f t="shared" si="76"/>
        <v/>
      </c>
      <c r="H1649" s="2" t="str">
        <f>IF(A1649="","",MIN('Loan Inputs'!$B$18,MAX(0,C1649+E1649-'Loan Inputs'!$B$17)))</f>
        <v/>
      </c>
    </row>
    <row r="1650" spans="1:8" ht="22" customHeight="1">
      <c r="A1650" s="1" t="str">
        <f>IF(AND('Loan Inputs'!$B$12,1644&lt;=IF('Loan Inputs'!$B$12,'Loan Inputs'!$B$7,0)*'Loan Inputs'!$B$14+5*'Loan Inputs'!$B$14,ISNUMBER(G1649),G1649&gt;0),1644,"")</f>
        <v/>
      </c>
      <c r="B1650" s="4" t="str">
        <f>IF(A1650="","",IF('Loan Inputs'!$B$14=12,DATE(YEAR('Loan Inputs'!$B$8),MONTH('Loan Inputs'!$B$8)+A1650,DAY('Loan Inputs'!$B$8)),'Loan Inputs'!$B$8+A1650*IF('Loan Inputs'!$B$14=26,14,7)))</f>
        <v/>
      </c>
      <c r="C1650" s="2" t="str">
        <f t="shared" si="77"/>
        <v/>
      </c>
      <c r="D1650" s="2" t="str">
        <f>IF(A1650="","",MIN('Loan Inputs'!$B$17,C1650+E1650)+H1650)</f>
        <v/>
      </c>
      <c r="E1650" s="2" t="str">
        <f>IF(A1650="","",C1650*'Loan Inputs'!$B$15)</f>
        <v/>
      </c>
      <c r="F1650" s="2" t="str">
        <f t="shared" si="75"/>
        <v/>
      </c>
      <c r="G1650" s="2" t="str">
        <f t="shared" si="76"/>
        <v/>
      </c>
      <c r="H1650" s="2" t="str">
        <f>IF(A1650="","",MIN('Loan Inputs'!$B$18,MAX(0,C1650+E1650-'Loan Inputs'!$B$17)))</f>
        <v/>
      </c>
    </row>
    <row r="1651" spans="1:8" ht="22" customHeight="1">
      <c r="A1651" s="1" t="str">
        <f>IF(AND('Loan Inputs'!$B$12,1645&lt;=IF('Loan Inputs'!$B$12,'Loan Inputs'!$B$7,0)*'Loan Inputs'!$B$14+5*'Loan Inputs'!$B$14,ISNUMBER(G1650),G1650&gt;0),1645,"")</f>
        <v/>
      </c>
      <c r="B1651" s="4" t="str">
        <f>IF(A1651="","",IF('Loan Inputs'!$B$14=12,DATE(YEAR('Loan Inputs'!$B$8),MONTH('Loan Inputs'!$B$8)+A1651,DAY('Loan Inputs'!$B$8)),'Loan Inputs'!$B$8+A1651*IF('Loan Inputs'!$B$14=26,14,7)))</f>
        <v/>
      </c>
      <c r="C1651" s="2" t="str">
        <f t="shared" si="77"/>
        <v/>
      </c>
      <c r="D1651" s="2" t="str">
        <f>IF(A1651="","",MIN('Loan Inputs'!$B$17,C1651+E1651)+H1651)</f>
        <v/>
      </c>
      <c r="E1651" s="2" t="str">
        <f>IF(A1651="","",C1651*'Loan Inputs'!$B$15)</f>
        <v/>
      </c>
      <c r="F1651" s="2" t="str">
        <f t="shared" si="75"/>
        <v/>
      </c>
      <c r="G1651" s="2" t="str">
        <f t="shared" si="76"/>
        <v/>
      </c>
      <c r="H1651" s="2" t="str">
        <f>IF(A1651="","",MIN('Loan Inputs'!$B$18,MAX(0,C1651+E1651-'Loan Inputs'!$B$17)))</f>
        <v/>
      </c>
    </row>
    <row r="1652" spans="1:8" ht="22" customHeight="1">
      <c r="A1652" s="1" t="str">
        <f>IF(AND('Loan Inputs'!$B$12,1646&lt;=IF('Loan Inputs'!$B$12,'Loan Inputs'!$B$7,0)*'Loan Inputs'!$B$14+5*'Loan Inputs'!$B$14,ISNUMBER(G1651),G1651&gt;0),1646,"")</f>
        <v/>
      </c>
      <c r="B1652" s="4" t="str">
        <f>IF(A1652="","",IF('Loan Inputs'!$B$14=12,DATE(YEAR('Loan Inputs'!$B$8),MONTH('Loan Inputs'!$B$8)+A1652,DAY('Loan Inputs'!$B$8)),'Loan Inputs'!$B$8+A1652*IF('Loan Inputs'!$B$14=26,14,7)))</f>
        <v/>
      </c>
      <c r="C1652" s="2" t="str">
        <f t="shared" si="77"/>
        <v/>
      </c>
      <c r="D1652" s="2" t="str">
        <f>IF(A1652="","",MIN('Loan Inputs'!$B$17,C1652+E1652)+H1652)</f>
        <v/>
      </c>
      <c r="E1652" s="2" t="str">
        <f>IF(A1652="","",C1652*'Loan Inputs'!$B$15)</f>
        <v/>
      </c>
      <c r="F1652" s="2" t="str">
        <f t="shared" si="75"/>
        <v/>
      </c>
      <c r="G1652" s="2" t="str">
        <f t="shared" si="76"/>
        <v/>
      </c>
      <c r="H1652" s="2" t="str">
        <f>IF(A1652="","",MIN('Loan Inputs'!$B$18,MAX(0,C1652+E1652-'Loan Inputs'!$B$17)))</f>
        <v/>
      </c>
    </row>
    <row r="1653" spans="1:8" ht="22" customHeight="1">
      <c r="A1653" s="1" t="str">
        <f>IF(AND('Loan Inputs'!$B$12,1647&lt;=IF('Loan Inputs'!$B$12,'Loan Inputs'!$B$7,0)*'Loan Inputs'!$B$14+5*'Loan Inputs'!$B$14,ISNUMBER(G1652),G1652&gt;0),1647,"")</f>
        <v/>
      </c>
      <c r="B1653" s="4" t="str">
        <f>IF(A1653="","",IF('Loan Inputs'!$B$14=12,DATE(YEAR('Loan Inputs'!$B$8),MONTH('Loan Inputs'!$B$8)+A1653,DAY('Loan Inputs'!$B$8)),'Loan Inputs'!$B$8+A1653*IF('Loan Inputs'!$B$14=26,14,7)))</f>
        <v/>
      </c>
      <c r="C1653" s="2" t="str">
        <f t="shared" si="77"/>
        <v/>
      </c>
      <c r="D1653" s="2" t="str">
        <f>IF(A1653="","",MIN('Loan Inputs'!$B$17,C1653+E1653)+H1653)</f>
        <v/>
      </c>
      <c r="E1653" s="2" t="str">
        <f>IF(A1653="","",C1653*'Loan Inputs'!$B$15)</f>
        <v/>
      </c>
      <c r="F1653" s="2" t="str">
        <f t="shared" si="75"/>
        <v/>
      </c>
      <c r="G1653" s="2" t="str">
        <f t="shared" si="76"/>
        <v/>
      </c>
      <c r="H1653" s="2" t="str">
        <f>IF(A1653="","",MIN('Loan Inputs'!$B$18,MAX(0,C1653+E1653-'Loan Inputs'!$B$17)))</f>
        <v/>
      </c>
    </row>
    <row r="1654" spans="1:8" ht="22" customHeight="1">
      <c r="A1654" s="1" t="str">
        <f>IF(AND('Loan Inputs'!$B$12,1648&lt;=IF('Loan Inputs'!$B$12,'Loan Inputs'!$B$7,0)*'Loan Inputs'!$B$14+5*'Loan Inputs'!$B$14,ISNUMBER(G1653),G1653&gt;0),1648,"")</f>
        <v/>
      </c>
      <c r="B1654" s="4" t="str">
        <f>IF(A1654="","",IF('Loan Inputs'!$B$14=12,DATE(YEAR('Loan Inputs'!$B$8),MONTH('Loan Inputs'!$B$8)+A1654,DAY('Loan Inputs'!$B$8)),'Loan Inputs'!$B$8+A1654*IF('Loan Inputs'!$B$14=26,14,7)))</f>
        <v/>
      </c>
      <c r="C1654" s="2" t="str">
        <f t="shared" si="77"/>
        <v/>
      </c>
      <c r="D1654" s="2" t="str">
        <f>IF(A1654="","",MIN('Loan Inputs'!$B$17,C1654+E1654)+H1654)</f>
        <v/>
      </c>
      <c r="E1654" s="2" t="str">
        <f>IF(A1654="","",C1654*'Loan Inputs'!$B$15)</f>
        <v/>
      </c>
      <c r="F1654" s="2" t="str">
        <f t="shared" si="75"/>
        <v/>
      </c>
      <c r="G1654" s="2" t="str">
        <f t="shared" si="76"/>
        <v/>
      </c>
      <c r="H1654" s="2" t="str">
        <f>IF(A1654="","",MIN('Loan Inputs'!$B$18,MAX(0,C1654+E1654-'Loan Inputs'!$B$17)))</f>
        <v/>
      </c>
    </row>
    <row r="1655" spans="1:8" ht="22" customHeight="1">
      <c r="A1655" s="1" t="str">
        <f>IF(AND('Loan Inputs'!$B$12,1649&lt;=IF('Loan Inputs'!$B$12,'Loan Inputs'!$B$7,0)*'Loan Inputs'!$B$14+5*'Loan Inputs'!$B$14,ISNUMBER(G1654),G1654&gt;0),1649,"")</f>
        <v/>
      </c>
      <c r="B1655" s="4" t="str">
        <f>IF(A1655="","",IF('Loan Inputs'!$B$14=12,DATE(YEAR('Loan Inputs'!$B$8),MONTH('Loan Inputs'!$B$8)+A1655,DAY('Loan Inputs'!$B$8)),'Loan Inputs'!$B$8+A1655*IF('Loan Inputs'!$B$14=26,14,7)))</f>
        <v/>
      </c>
      <c r="C1655" s="2" t="str">
        <f t="shared" si="77"/>
        <v/>
      </c>
      <c r="D1655" s="2" t="str">
        <f>IF(A1655="","",MIN('Loan Inputs'!$B$17,C1655+E1655)+H1655)</f>
        <v/>
      </c>
      <c r="E1655" s="2" t="str">
        <f>IF(A1655="","",C1655*'Loan Inputs'!$B$15)</f>
        <v/>
      </c>
      <c r="F1655" s="2" t="str">
        <f t="shared" si="75"/>
        <v/>
      </c>
      <c r="G1655" s="2" t="str">
        <f t="shared" si="76"/>
        <v/>
      </c>
      <c r="H1655" s="2" t="str">
        <f>IF(A1655="","",MIN('Loan Inputs'!$B$18,MAX(0,C1655+E1655-'Loan Inputs'!$B$17)))</f>
        <v/>
      </c>
    </row>
    <row r="1656" spans="1:8" ht="22" customHeight="1">
      <c r="A1656" s="1" t="str">
        <f>IF(AND('Loan Inputs'!$B$12,1650&lt;=IF('Loan Inputs'!$B$12,'Loan Inputs'!$B$7,0)*'Loan Inputs'!$B$14+5*'Loan Inputs'!$B$14,ISNUMBER(G1655),G1655&gt;0),1650,"")</f>
        <v/>
      </c>
      <c r="B1656" s="4" t="str">
        <f>IF(A1656="","",IF('Loan Inputs'!$B$14=12,DATE(YEAR('Loan Inputs'!$B$8),MONTH('Loan Inputs'!$B$8)+A1656,DAY('Loan Inputs'!$B$8)),'Loan Inputs'!$B$8+A1656*IF('Loan Inputs'!$B$14=26,14,7)))</f>
        <v/>
      </c>
      <c r="C1656" s="2" t="str">
        <f t="shared" si="77"/>
        <v/>
      </c>
      <c r="D1656" s="2" t="str">
        <f>IF(A1656="","",MIN('Loan Inputs'!$B$17,C1656+E1656)+H1656)</f>
        <v/>
      </c>
      <c r="E1656" s="2" t="str">
        <f>IF(A1656="","",C1656*'Loan Inputs'!$B$15)</f>
        <v/>
      </c>
      <c r="F1656" s="2" t="str">
        <f t="shared" si="75"/>
        <v/>
      </c>
      <c r="G1656" s="2" t="str">
        <f t="shared" si="76"/>
        <v/>
      </c>
      <c r="H1656" s="2" t="str">
        <f>IF(A1656="","",MIN('Loan Inputs'!$B$18,MAX(0,C1656+E1656-'Loan Inputs'!$B$17)))</f>
        <v/>
      </c>
    </row>
    <row r="1657" spans="1:8" ht="22" customHeight="1">
      <c r="A1657" s="1" t="str">
        <f>IF(AND('Loan Inputs'!$B$12,1651&lt;=IF('Loan Inputs'!$B$12,'Loan Inputs'!$B$7,0)*'Loan Inputs'!$B$14+5*'Loan Inputs'!$B$14,ISNUMBER(G1656),G1656&gt;0),1651,"")</f>
        <v/>
      </c>
      <c r="B1657" s="4" t="str">
        <f>IF(A1657="","",IF('Loan Inputs'!$B$14=12,DATE(YEAR('Loan Inputs'!$B$8),MONTH('Loan Inputs'!$B$8)+A1657,DAY('Loan Inputs'!$B$8)),'Loan Inputs'!$B$8+A1657*IF('Loan Inputs'!$B$14=26,14,7)))</f>
        <v/>
      </c>
      <c r="C1657" s="2" t="str">
        <f t="shared" si="77"/>
        <v/>
      </c>
      <c r="D1657" s="2" t="str">
        <f>IF(A1657="","",MIN('Loan Inputs'!$B$17,C1657+E1657)+H1657)</f>
        <v/>
      </c>
      <c r="E1657" s="2" t="str">
        <f>IF(A1657="","",C1657*'Loan Inputs'!$B$15)</f>
        <v/>
      </c>
      <c r="F1657" s="2" t="str">
        <f t="shared" si="75"/>
        <v/>
      </c>
      <c r="G1657" s="2" t="str">
        <f t="shared" si="76"/>
        <v/>
      </c>
      <c r="H1657" s="2" t="str">
        <f>IF(A1657="","",MIN('Loan Inputs'!$B$18,MAX(0,C1657+E1657-'Loan Inputs'!$B$17)))</f>
        <v/>
      </c>
    </row>
    <row r="1658" spans="1:8" ht="22" customHeight="1">
      <c r="A1658" s="1" t="str">
        <f>IF(AND('Loan Inputs'!$B$12,1652&lt;=IF('Loan Inputs'!$B$12,'Loan Inputs'!$B$7,0)*'Loan Inputs'!$B$14+5*'Loan Inputs'!$B$14,ISNUMBER(G1657),G1657&gt;0),1652,"")</f>
        <v/>
      </c>
      <c r="B1658" s="4" t="str">
        <f>IF(A1658="","",IF('Loan Inputs'!$B$14=12,DATE(YEAR('Loan Inputs'!$B$8),MONTH('Loan Inputs'!$B$8)+A1658,DAY('Loan Inputs'!$B$8)),'Loan Inputs'!$B$8+A1658*IF('Loan Inputs'!$B$14=26,14,7)))</f>
        <v/>
      </c>
      <c r="C1658" s="2" t="str">
        <f t="shared" si="77"/>
        <v/>
      </c>
      <c r="D1658" s="2" t="str">
        <f>IF(A1658="","",MIN('Loan Inputs'!$B$17,C1658+E1658)+H1658)</f>
        <v/>
      </c>
      <c r="E1658" s="2" t="str">
        <f>IF(A1658="","",C1658*'Loan Inputs'!$B$15)</f>
        <v/>
      </c>
      <c r="F1658" s="2" t="str">
        <f t="shared" si="75"/>
        <v/>
      </c>
      <c r="G1658" s="2" t="str">
        <f t="shared" si="76"/>
        <v/>
      </c>
      <c r="H1658" s="2" t="str">
        <f>IF(A1658="","",MIN('Loan Inputs'!$B$18,MAX(0,C1658+E1658-'Loan Inputs'!$B$17)))</f>
        <v/>
      </c>
    </row>
    <row r="1659" spans="1:8" ht="22" customHeight="1">
      <c r="A1659" s="1" t="str">
        <f>IF(AND('Loan Inputs'!$B$12,1653&lt;=IF('Loan Inputs'!$B$12,'Loan Inputs'!$B$7,0)*'Loan Inputs'!$B$14+5*'Loan Inputs'!$B$14,ISNUMBER(G1658),G1658&gt;0),1653,"")</f>
        <v/>
      </c>
      <c r="B1659" s="4" t="str">
        <f>IF(A1659="","",IF('Loan Inputs'!$B$14=12,DATE(YEAR('Loan Inputs'!$B$8),MONTH('Loan Inputs'!$B$8)+A1659,DAY('Loan Inputs'!$B$8)),'Loan Inputs'!$B$8+A1659*IF('Loan Inputs'!$B$14=26,14,7)))</f>
        <v/>
      </c>
      <c r="C1659" s="2" t="str">
        <f t="shared" si="77"/>
        <v/>
      </c>
      <c r="D1659" s="2" t="str">
        <f>IF(A1659="","",MIN('Loan Inputs'!$B$17,C1659+E1659)+H1659)</f>
        <v/>
      </c>
      <c r="E1659" s="2" t="str">
        <f>IF(A1659="","",C1659*'Loan Inputs'!$B$15)</f>
        <v/>
      </c>
      <c r="F1659" s="2" t="str">
        <f t="shared" si="75"/>
        <v/>
      </c>
      <c r="G1659" s="2" t="str">
        <f t="shared" si="76"/>
        <v/>
      </c>
      <c r="H1659" s="2" t="str">
        <f>IF(A1659="","",MIN('Loan Inputs'!$B$18,MAX(0,C1659+E1659-'Loan Inputs'!$B$17)))</f>
        <v/>
      </c>
    </row>
    <row r="1660" spans="1:8" ht="22" customHeight="1">
      <c r="A1660" s="1" t="str">
        <f>IF(AND('Loan Inputs'!$B$12,1654&lt;=IF('Loan Inputs'!$B$12,'Loan Inputs'!$B$7,0)*'Loan Inputs'!$B$14+5*'Loan Inputs'!$B$14,ISNUMBER(G1659),G1659&gt;0),1654,"")</f>
        <v/>
      </c>
      <c r="B1660" s="4" t="str">
        <f>IF(A1660="","",IF('Loan Inputs'!$B$14=12,DATE(YEAR('Loan Inputs'!$B$8),MONTH('Loan Inputs'!$B$8)+A1660,DAY('Loan Inputs'!$B$8)),'Loan Inputs'!$B$8+A1660*IF('Loan Inputs'!$B$14=26,14,7)))</f>
        <v/>
      </c>
      <c r="C1660" s="2" t="str">
        <f t="shared" si="77"/>
        <v/>
      </c>
      <c r="D1660" s="2" t="str">
        <f>IF(A1660="","",MIN('Loan Inputs'!$B$17,C1660+E1660)+H1660)</f>
        <v/>
      </c>
      <c r="E1660" s="2" t="str">
        <f>IF(A1660="","",C1660*'Loan Inputs'!$B$15)</f>
        <v/>
      </c>
      <c r="F1660" s="2" t="str">
        <f t="shared" si="75"/>
        <v/>
      </c>
      <c r="G1660" s="2" t="str">
        <f t="shared" si="76"/>
        <v/>
      </c>
      <c r="H1660" s="2" t="str">
        <f>IF(A1660="","",MIN('Loan Inputs'!$B$18,MAX(0,C1660+E1660-'Loan Inputs'!$B$17)))</f>
        <v/>
      </c>
    </row>
    <row r="1661" spans="1:8" ht="22" customHeight="1">
      <c r="A1661" s="1" t="str">
        <f>IF(AND('Loan Inputs'!$B$12,1655&lt;=IF('Loan Inputs'!$B$12,'Loan Inputs'!$B$7,0)*'Loan Inputs'!$B$14+5*'Loan Inputs'!$B$14,ISNUMBER(G1660),G1660&gt;0),1655,"")</f>
        <v/>
      </c>
      <c r="B1661" s="4" t="str">
        <f>IF(A1661="","",IF('Loan Inputs'!$B$14=12,DATE(YEAR('Loan Inputs'!$B$8),MONTH('Loan Inputs'!$B$8)+A1661,DAY('Loan Inputs'!$B$8)),'Loan Inputs'!$B$8+A1661*IF('Loan Inputs'!$B$14=26,14,7)))</f>
        <v/>
      </c>
      <c r="C1661" s="2" t="str">
        <f t="shared" si="77"/>
        <v/>
      </c>
      <c r="D1661" s="2" t="str">
        <f>IF(A1661="","",MIN('Loan Inputs'!$B$17,C1661+E1661)+H1661)</f>
        <v/>
      </c>
      <c r="E1661" s="2" t="str">
        <f>IF(A1661="","",C1661*'Loan Inputs'!$B$15)</f>
        <v/>
      </c>
      <c r="F1661" s="2" t="str">
        <f t="shared" si="75"/>
        <v/>
      </c>
      <c r="G1661" s="2" t="str">
        <f t="shared" si="76"/>
        <v/>
      </c>
      <c r="H1661" s="2" t="str">
        <f>IF(A1661="","",MIN('Loan Inputs'!$B$18,MAX(0,C1661+E1661-'Loan Inputs'!$B$17)))</f>
        <v/>
      </c>
    </row>
    <row r="1662" spans="1:8" ht="22" customHeight="1">
      <c r="A1662" s="1" t="str">
        <f>IF(AND('Loan Inputs'!$B$12,1656&lt;=IF('Loan Inputs'!$B$12,'Loan Inputs'!$B$7,0)*'Loan Inputs'!$B$14+5*'Loan Inputs'!$B$14,ISNUMBER(G1661),G1661&gt;0),1656,"")</f>
        <v/>
      </c>
      <c r="B1662" s="4" t="str">
        <f>IF(A1662="","",IF('Loan Inputs'!$B$14=12,DATE(YEAR('Loan Inputs'!$B$8),MONTH('Loan Inputs'!$B$8)+A1662,DAY('Loan Inputs'!$B$8)),'Loan Inputs'!$B$8+A1662*IF('Loan Inputs'!$B$14=26,14,7)))</f>
        <v/>
      </c>
      <c r="C1662" s="2" t="str">
        <f t="shared" si="77"/>
        <v/>
      </c>
      <c r="D1662" s="2" t="str">
        <f>IF(A1662="","",MIN('Loan Inputs'!$B$17,C1662+E1662)+H1662)</f>
        <v/>
      </c>
      <c r="E1662" s="2" t="str">
        <f>IF(A1662="","",C1662*'Loan Inputs'!$B$15)</f>
        <v/>
      </c>
      <c r="F1662" s="2" t="str">
        <f t="shared" si="75"/>
        <v/>
      </c>
      <c r="G1662" s="2" t="str">
        <f t="shared" si="76"/>
        <v/>
      </c>
      <c r="H1662" s="2" t="str">
        <f>IF(A1662="","",MIN('Loan Inputs'!$B$18,MAX(0,C1662+E1662-'Loan Inputs'!$B$17)))</f>
        <v/>
      </c>
    </row>
    <row r="1663" spans="1:8" ht="22" customHeight="1">
      <c r="A1663" s="1" t="str">
        <f>IF(AND('Loan Inputs'!$B$12,1657&lt;=IF('Loan Inputs'!$B$12,'Loan Inputs'!$B$7,0)*'Loan Inputs'!$B$14+5*'Loan Inputs'!$B$14,ISNUMBER(G1662),G1662&gt;0),1657,"")</f>
        <v/>
      </c>
      <c r="B1663" s="4" t="str">
        <f>IF(A1663="","",IF('Loan Inputs'!$B$14=12,DATE(YEAR('Loan Inputs'!$B$8),MONTH('Loan Inputs'!$B$8)+A1663,DAY('Loan Inputs'!$B$8)),'Loan Inputs'!$B$8+A1663*IF('Loan Inputs'!$B$14=26,14,7)))</f>
        <v/>
      </c>
      <c r="C1663" s="2" t="str">
        <f t="shared" si="77"/>
        <v/>
      </c>
      <c r="D1663" s="2" t="str">
        <f>IF(A1663="","",MIN('Loan Inputs'!$B$17,C1663+E1663)+H1663)</f>
        <v/>
      </c>
      <c r="E1663" s="2" t="str">
        <f>IF(A1663="","",C1663*'Loan Inputs'!$B$15)</f>
        <v/>
      </c>
      <c r="F1663" s="2" t="str">
        <f t="shared" si="75"/>
        <v/>
      </c>
      <c r="G1663" s="2" t="str">
        <f t="shared" si="76"/>
        <v/>
      </c>
      <c r="H1663" s="2" t="str">
        <f>IF(A1663="","",MIN('Loan Inputs'!$B$18,MAX(0,C1663+E1663-'Loan Inputs'!$B$17)))</f>
        <v/>
      </c>
    </row>
    <row r="1664" spans="1:8" ht="22" customHeight="1">
      <c r="A1664" s="1" t="str">
        <f>IF(AND('Loan Inputs'!$B$12,1658&lt;=IF('Loan Inputs'!$B$12,'Loan Inputs'!$B$7,0)*'Loan Inputs'!$B$14+5*'Loan Inputs'!$B$14,ISNUMBER(G1663),G1663&gt;0),1658,"")</f>
        <v/>
      </c>
      <c r="B1664" s="4" t="str">
        <f>IF(A1664="","",IF('Loan Inputs'!$B$14=12,DATE(YEAR('Loan Inputs'!$B$8),MONTH('Loan Inputs'!$B$8)+A1664,DAY('Loan Inputs'!$B$8)),'Loan Inputs'!$B$8+A1664*IF('Loan Inputs'!$B$14=26,14,7)))</f>
        <v/>
      </c>
      <c r="C1664" s="2" t="str">
        <f t="shared" si="77"/>
        <v/>
      </c>
      <c r="D1664" s="2" t="str">
        <f>IF(A1664="","",MIN('Loan Inputs'!$B$17,C1664+E1664)+H1664)</f>
        <v/>
      </c>
      <c r="E1664" s="2" t="str">
        <f>IF(A1664="","",C1664*'Loan Inputs'!$B$15)</f>
        <v/>
      </c>
      <c r="F1664" s="2" t="str">
        <f t="shared" si="75"/>
        <v/>
      </c>
      <c r="G1664" s="2" t="str">
        <f t="shared" si="76"/>
        <v/>
      </c>
      <c r="H1664" s="2" t="str">
        <f>IF(A1664="","",MIN('Loan Inputs'!$B$18,MAX(0,C1664+E1664-'Loan Inputs'!$B$17)))</f>
        <v/>
      </c>
    </row>
    <row r="1665" spans="1:8" ht="22" customHeight="1">
      <c r="A1665" s="1" t="str">
        <f>IF(AND('Loan Inputs'!$B$12,1659&lt;=IF('Loan Inputs'!$B$12,'Loan Inputs'!$B$7,0)*'Loan Inputs'!$B$14+5*'Loan Inputs'!$B$14,ISNUMBER(G1664),G1664&gt;0),1659,"")</f>
        <v/>
      </c>
      <c r="B1665" s="4" t="str">
        <f>IF(A1665="","",IF('Loan Inputs'!$B$14=12,DATE(YEAR('Loan Inputs'!$B$8),MONTH('Loan Inputs'!$B$8)+A1665,DAY('Loan Inputs'!$B$8)),'Loan Inputs'!$B$8+A1665*IF('Loan Inputs'!$B$14=26,14,7)))</f>
        <v/>
      </c>
      <c r="C1665" s="2" t="str">
        <f t="shared" si="77"/>
        <v/>
      </c>
      <c r="D1665" s="2" t="str">
        <f>IF(A1665="","",MIN('Loan Inputs'!$B$17,C1665+E1665)+H1665)</f>
        <v/>
      </c>
      <c r="E1665" s="2" t="str">
        <f>IF(A1665="","",C1665*'Loan Inputs'!$B$15)</f>
        <v/>
      </c>
      <c r="F1665" s="2" t="str">
        <f t="shared" si="75"/>
        <v/>
      </c>
      <c r="G1665" s="2" t="str">
        <f t="shared" si="76"/>
        <v/>
      </c>
      <c r="H1665" s="2" t="str">
        <f>IF(A1665="","",MIN('Loan Inputs'!$B$18,MAX(0,C1665+E1665-'Loan Inputs'!$B$17)))</f>
        <v/>
      </c>
    </row>
    <row r="1666" spans="1:8" ht="22" customHeight="1">
      <c r="A1666" s="1" t="str">
        <f>IF(AND('Loan Inputs'!$B$12,1660&lt;=IF('Loan Inputs'!$B$12,'Loan Inputs'!$B$7,0)*'Loan Inputs'!$B$14+5*'Loan Inputs'!$B$14,ISNUMBER(G1665),G1665&gt;0),1660,"")</f>
        <v/>
      </c>
      <c r="B1666" s="4" t="str">
        <f>IF(A1666="","",IF('Loan Inputs'!$B$14=12,DATE(YEAR('Loan Inputs'!$B$8),MONTH('Loan Inputs'!$B$8)+A1666,DAY('Loan Inputs'!$B$8)),'Loan Inputs'!$B$8+A1666*IF('Loan Inputs'!$B$14=26,14,7)))</f>
        <v/>
      </c>
      <c r="C1666" s="2" t="str">
        <f t="shared" si="77"/>
        <v/>
      </c>
      <c r="D1666" s="2" t="str">
        <f>IF(A1666="","",MIN('Loan Inputs'!$B$17,C1666+E1666)+H1666)</f>
        <v/>
      </c>
      <c r="E1666" s="2" t="str">
        <f>IF(A1666="","",C1666*'Loan Inputs'!$B$15)</f>
        <v/>
      </c>
      <c r="F1666" s="2" t="str">
        <f t="shared" si="75"/>
        <v/>
      </c>
      <c r="G1666" s="2" t="str">
        <f t="shared" si="76"/>
        <v/>
      </c>
      <c r="H1666" s="2" t="str">
        <f>IF(A1666="","",MIN('Loan Inputs'!$B$18,MAX(0,C1666+E1666-'Loan Inputs'!$B$17)))</f>
        <v/>
      </c>
    </row>
    <row r="1667" spans="1:8" ht="22" customHeight="1">
      <c r="A1667" s="1" t="str">
        <f>IF(AND('Loan Inputs'!$B$12,1661&lt;=IF('Loan Inputs'!$B$12,'Loan Inputs'!$B$7,0)*'Loan Inputs'!$B$14+5*'Loan Inputs'!$B$14,ISNUMBER(G1666),G1666&gt;0),1661,"")</f>
        <v/>
      </c>
      <c r="B1667" s="4" t="str">
        <f>IF(A1667="","",IF('Loan Inputs'!$B$14=12,DATE(YEAR('Loan Inputs'!$B$8),MONTH('Loan Inputs'!$B$8)+A1667,DAY('Loan Inputs'!$B$8)),'Loan Inputs'!$B$8+A1667*IF('Loan Inputs'!$B$14=26,14,7)))</f>
        <v/>
      </c>
      <c r="C1667" s="2" t="str">
        <f t="shared" si="77"/>
        <v/>
      </c>
      <c r="D1667" s="2" t="str">
        <f>IF(A1667="","",MIN('Loan Inputs'!$B$17,C1667+E1667)+H1667)</f>
        <v/>
      </c>
      <c r="E1667" s="2" t="str">
        <f>IF(A1667="","",C1667*'Loan Inputs'!$B$15)</f>
        <v/>
      </c>
      <c r="F1667" s="2" t="str">
        <f t="shared" si="75"/>
        <v/>
      </c>
      <c r="G1667" s="2" t="str">
        <f t="shared" si="76"/>
        <v/>
      </c>
      <c r="H1667" s="2" t="str">
        <f>IF(A1667="","",MIN('Loan Inputs'!$B$18,MAX(0,C1667+E1667-'Loan Inputs'!$B$17)))</f>
        <v/>
      </c>
    </row>
    <row r="1668" spans="1:8" ht="22" customHeight="1">
      <c r="A1668" s="1" t="str">
        <f>IF(AND('Loan Inputs'!$B$12,1662&lt;=IF('Loan Inputs'!$B$12,'Loan Inputs'!$B$7,0)*'Loan Inputs'!$B$14+5*'Loan Inputs'!$B$14,ISNUMBER(G1667),G1667&gt;0),1662,"")</f>
        <v/>
      </c>
      <c r="B1668" s="4" t="str">
        <f>IF(A1668="","",IF('Loan Inputs'!$B$14=12,DATE(YEAR('Loan Inputs'!$B$8),MONTH('Loan Inputs'!$B$8)+A1668,DAY('Loan Inputs'!$B$8)),'Loan Inputs'!$B$8+A1668*IF('Loan Inputs'!$B$14=26,14,7)))</f>
        <v/>
      </c>
      <c r="C1668" s="2" t="str">
        <f t="shared" si="77"/>
        <v/>
      </c>
      <c r="D1668" s="2" t="str">
        <f>IF(A1668="","",MIN('Loan Inputs'!$B$17,C1668+E1668)+H1668)</f>
        <v/>
      </c>
      <c r="E1668" s="2" t="str">
        <f>IF(A1668="","",C1668*'Loan Inputs'!$B$15)</f>
        <v/>
      </c>
      <c r="F1668" s="2" t="str">
        <f t="shared" si="75"/>
        <v/>
      </c>
      <c r="G1668" s="2" t="str">
        <f t="shared" si="76"/>
        <v/>
      </c>
      <c r="H1668" s="2" t="str">
        <f>IF(A1668="","",MIN('Loan Inputs'!$B$18,MAX(0,C1668+E1668-'Loan Inputs'!$B$17)))</f>
        <v/>
      </c>
    </row>
    <row r="1669" spans="1:8" ht="22" customHeight="1">
      <c r="A1669" s="1" t="str">
        <f>IF(AND('Loan Inputs'!$B$12,1663&lt;=IF('Loan Inputs'!$B$12,'Loan Inputs'!$B$7,0)*'Loan Inputs'!$B$14+5*'Loan Inputs'!$B$14,ISNUMBER(G1668),G1668&gt;0),1663,"")</f>
        <v/>
      </c>
      <c r="B1669" s="4" t="str">
        <f>IF(A1669="","",IF('Loan Inputs'!$B$14=12,DATE(YEAR('Loan Inputs'!$B$8),MONTH('Loan Inputs'!$B$8)+A1669,DAY('Loan Inputs'!$B$8)),'Loan Inputs'!$B$8+A1669*IF('Loan Inputs'!$B$14=26,14,7)))</f>
        <v/>
      </c>
      <c r="C1669" s="2" t="str">
        <f t="shared" si="77"/>
        <v/>
      </c>
      <c r="D1669" s="2" t="str">
        <f>IF(A1669="","",MIN('Loan Inputs'!$B$17,C1669+E1669)+H1669)</f>
        <v/>
      </c>
      <c r="E1669" s="2" t="str">
        <f>IF(A1669="","",C1669*'Loan Inputs'!$B$15)</f>
        <v/>
      </c>
      <c r="F1669" s="2" t="str">
        <f t="shared" si="75"/>
        <v/>
      </c>
      <c r="G1669" s="2" t="str">
        <f t="shared" si="76"/>
        <v/>
      </c>
      <c r="H1669" s="2" t="str">
        <f>IF(A1669="","",MIN('Loan Inputs'!$B$18,MAX(0,C1669+E1669-'Loan Inputs'!$B$17)))</f>
        <v/>
      </c>
    </row>
    <row r="1670" spans="1:8" ht="22" customHeight="1">
      <c r="A1670" s="1" t="str">
        <f>IF(AND('Loan Inputs'!$B$12,1664&lt;=IF('Loan Inputs'!$B$12,'Loan Inputs'!$B$7,0)*'Loan Inputs'!$B$14+5*'Loan Inputs'!$B$14,ISNUMBER(G1669),G1669&gt;0),1664,"")</f>
        <v/>
      </c>
      <c r="B1670" s="4" t="str">
        <f>IF(A1670="","",IF('Loan Inputs'!$B$14=12,DATE(YEAR('Loan Inputs'!$B$8),MONTH('Loan Inputs'!$B$8)+A1670,DAY('Loan Inputs'!$B$8)),'Loan Inputs'!$B$8+A1670*IF('Loan Inputs'!$B$14=26,14,7)))</f>
        <v/>
      </c>
      <c r="C1670" s="2" t="str">
        <f t="shared" si="77"/>
        <v/>
      </c>
      <c r="D1670" s="2" t="str">
        <f>IF(A1670="","",MIN('Loan Inputs'!$B$17,C1670+E1670)+H1670)</f>
        <v/>
      </c>
      <c r="E1670" s="2" t="str">
        <f>IF(A1670="","",C1670*'Loan Inputs'!$B$15)</f>
        <v/>
      </c>
      <c r="F1670" s="2" t="str">
        <f t="shared" si="75"/>
        <v/>
      </c>
      <c r="G1670" s="2" t="str">
        <f t="shared" si="76"/>
        <v/>
      </c>
      <c r="H1670" s="2" t="str">
        <f>IF(A1670="","",MIN('Loan Inputs'!$B$18,MAX(0,C1670+E1670-'Loan Inputs'!$B$17)))</f>
        <v/>
      </c>
    </row>
    <row r="1671" spans="1:8" ht="22" customHeight="1">
      <c r="A1671" s="1" t="str">
        <f>IF(AND('Loan Inputs'!$B$12,1665&lt;=IF('Loan Inputs'!$B$12,'Loan Inputs'!$B$7,0)*'Loan Inputs'!$B$14+5*'Loan Inputs'!$B$14,ISNUMBER(G1670),G1670&gt;0),1665,"")</f>
        <v/>
      </c>
      <c r="B1671" s="4" t="str">
        <f>IF(A1671="","",IF('Loan Inputs'!$B$14=12,DATE(YEAR('Loan Inputs'!$B$8),MONTH('Loan Inputs'!$B$8)+A1671,DAY('Loan Inputs'!$B$8)),'Loan Inputs'!$B$8+A1671*IF('Loan Inputs'!$B$14=26,14,7)))</f>
        <v/>
      </c>
      <c r="C1671" s="2" t="str">
        <f t="shared" si="77"/>
        <v/>
      </c>
      <c r="D1671" s="2" t="str">
        <f>IF(A1671="","",MIN('Loan Inputs'!$B$17,C1671+E1671)+H1671)</f>
        <v/>
      </c>
      <c r="E1671" s="2" t="str">
        <f>IF(A1671="","",C1671*'Loan Inputs'!$B$15)</f>
        <v/>
      </c>
      <c r="F1671" s="2" t="str">
        <f t="shared" ref="F1671:F1734" si="78">IF(A1671="","",MIN(C1671,D1671-E1671))</f>
        <v/>
      </c>
      <c r="G1671" s="2" t="str">
        <f t="shared" ref="G1671:G1734" si="79">IF(A1671="","",IF(C1671-F1671&lt;0.0000001,0,MAX(0,C1671-F1671)))</f>
        <v/>
      </c>
      <c r="H1671" s="2" t="str">
        <f>IF(A1671="","",MIN('Loan Inputs'!$B$18,MAX(0,C1671+E1671-'Loan Inputs'!$B$17)))</f>
        <v/>
      </c>
    </row>
    <row r="1672" spans="1:8" ht="22" customHeight="1">
      <c r="A1672" s="1" t="str">
        <f>IF(AND('Loan Inputs'!$B$12,1666&lt;=IF('Loan Inputs'!$B$12,'Loan Inputs'!$B$7,0)*'Loan Inputs'!$B$14+5*'Loan Inputs'!$B$14,ISNUMBER(G1671),G1671&gt;0),1666,"")</f>
        <v/>
      </c>
      <c r="B1672" s="4" t="str">
        <f>IF(A1672="","",IF('Loan Inputs'!$B$14=12,DATE(YEAR('Loan Inputs'!$B$8),MONTH('Loan Inputs'!$B$8)+A1672,DAY('Loan Inputs'!$B$8)),'Loan Inputs'!$B$8+A1672*IF('Loan Inputs'!$B$14=26,14,7)))</f>
        <v/>
      </c>
      <c r="C1672" s="2" t="str">
        <f t="shared" ref="C1672:C1735" si="80">IF(A1672="","",G1671)</f>
        <v/>
      </c>
      <c r="D1672" s="2" t="str">
        <f>IF(A1672="","",MIN('Loan Inputs'!$B$17,C1672+E1672)+H1672)</f>
        <v/>
      </c>
      <c r="E1672" s="2" t="str">
        <f>IF(A1672="","",C1672*'Loan Inputs'!$B$15)</f>
        <v/>
      </c>
      <c r="F1672" s="2" t="str">
        <f t="shared" si="78"/>
        <v/>
      </c>
      <c r="G1672" s="2" t="str">
        <f t="shared" si="79"/>
        <v/>
      </c>
      <c r="H1672" s="2" t="str">
        <f>IF(A1672="","",MIN('Loan Inputs'!$B$18,MAX(0,C1672+E1672-'Loan Inputs'!$B$17)))</f>
        <v/>
      </c>
    </row>
    <row r="1673" spans="1:8" ht="22" customHeight="1">
      <c r="A1673" s="1" t="str">
        <f>IF(AND('Loan Inputs'!$B$12,1667&lt;=IF('Loan Inputs'!$B$12,'Loan Inputs'!$B$7,0)*'Loan Inputs'!$B$14+5*'Loan Inputs'!$B$14,ISNUMBER(G1672),G1672&gt;0),1667,"")</f>
        <v/>
      </c>
      <c r="B1673" s="4" t="str">
        <f>IF(A1673="","",IF('Loan Inputs'!$B$14=12,DATE(YEAR('Loan Inputs'!$B$8),MONTH('Loan Inputs'!$B$8)+A1673,DAY('Loan Inputs'!$B$8)),'Loan Inputs'!$B$8+A1673*IF('Loan Inputs'!$B$14=26,14,7)))</f>
        <v/>
      </c>
      <c r="C1673" s="2" t="str">
        <f t="shared" si="80"/>
        <v/>
      </c>
      <c r="D1673" s="2" t="str">
        <f>IF(A1673="","",MIN('Loan Inputs'!$B$17,C1673+E1673)+H1673)</f>
        <v/>
      </c>
      <c r="E1673" s="2" t="str">
        <f>IF(A1673="","",C1673*'Loan Inputs'!$B$15)</f>
        <v/>
      </c>
      <c r="F1673" s="2" t="str">
        <f t="shared" si="78"/>
        <v/>
      </c>
      <c r="G1673" s="2" t="str">
        <f t="shared" si="79"/>
        <v/>
      </c>
      <c r="H1673" s="2" t="str">
        <f>IF(A1673="","",MIN('Loan Inputs'!$B$18,MAX(0,C1673+E1673-'Loan Inputs'!$B$17)))</f>
        <v/>
      </c>
    </row>
    <row r="1674" spans="1:8" ht="22" customHeight="1">
      <c r="A1674" s="1" t="str">
        <f>IF(AND('Loan Inputs'!$B$12,1668&lt;=IF('Loan Inputs'!$B$12,'Loan Inputs'!$B$7,0)*'Loan Inputs'!$B$14+5*'Loan Inputs'!$B$14,ISNUMBER(G1673),G1673&gt;0),1668,"")</f>
        <v/>
      </c>
      <c r="B1674" s="4" t="str">
        <f>IF(A1674="","",IF('Loan Inputs'!$B$14=12,DATE(YEAR('Loan Inputs'!$B$8),MONTH('Loan Inputs'!$B$8)+A1674,DAY('Loan Inputs'!$B$8)),'Loan Inputs'!$B$8+A1674*IF('Loan Inputs'!$B$14=26,14,7)))</f>
        <v/>
      </c>
      <c r="C1674" s="2" t="str">
        <f t="shared" si="80"/>
        <v/>
      </c>
      <c r="D1674" s="2" t="str">
        <f>IF(A1674="","",MIN('Loan Inputs'!$B$17,C1674+E1674)+H1674)</f>
        <v/>
      </c>
      <c r="E1674" s="2" t="str">
        <f>IF(A1674="","",C1674*'Loan Inputs'!$B$15)</f>
        <v/>
      </c>
      <c r="F1674" s="2" t="str">
        <f t="shared" si="78"/>
        <v/>
      </c>
      <c r="G1674" s="2" t="str">
        <f t="shared" si="79"/>
        <v/>
      </c>
      <c r="H1674" s="2" t="str">
        <f>IF(A1674="","",MIN('Loan Inputs'!$B$18,MAX(0,C1674+E1674-'Loan Inputs'!$B$17)))</f>
        <v/>
      </c>
    </row>
    <row r="1675" spans="1:8" ht="22" customHeight="1">
      <c r="A1675" s="1" t="str">
        <f>IF(AND('Loan Inputs'!$B$12,1669&lt;=IF('Loan Inputs'!$B$12,'Loan Inputs'!$B$7,0)*'Loan Inputs'!$B$14+5*'Loan Inputs'!$B$14,ISNUMBER(G1674),G1674&gt;0),1669,"")</f>
        <v/>
      </c>
      <c r="B1675" s="4" t="str">
        <f>IF(A1675="","",IF('Loan Inputs'!$B$14=12,DATE(YEAR('Loan Inputs'!$B$8),MONTH('Loan Inputs'!$B$8)+A1675,DAY('Loan Inputs'!$B$8)),'Loan Inputs'!$B$8+A1675*IF('Loan Inputs'!$B$14=26,14,7)))</f>
        <v/>
      </c>
      <c r="C1675" s="2" t="str">
        <f t="shared" si="80"/>
        <v/>
      </c>
      <c r="D1675" s="2" t="str">
        <f>IF(A1675="","",MIN('Loan Inputs'!$B$17,C1675+E1675)+H1675)</f>
        <v/>
      </c>
      <c r="E1675" s="2" t="str">
        <f>IF(A1675="","",C1675*'Loan Inputs'!$B$15)</f>
        <v/>
      </c>
      <c r="F1675" s="2" t="str">
        <f t="shared" si="78"/>
        <v/>
      </c>
      <c r="G1675" s="2" t="str">
        <f t="shared" si="79"/>
        <v/>
      </c>
      <c r="H1675" s="2" t="str">
        <f>IF(A1675="","",MIN('Loan Inputs'!$B$18,MAX(0,C1675+E1675-'Loan Inputs'!$B$17)))</f>
        <v/>
      </c>
    </row>
    <row r="1676" spans="1:8" ht="22" customHeight="1">
      <c r="A1676" s="1" t="str">
        <f>IF(AND('Loan Inputs'!$B$12,1670&lt;=IF('Loan Inputs'!$B$12,'Loan Inputs'!$B$7,0)*'Loan Inputs'!$B$14+5*'Loan Inputs'!$B$14,ISNUMBER(G1675),G1675&gt;0),1670,"")</f>
        <v/>
      </c>
      <c r="B1676" s="4" t="str">
        <f>IF(A1676="","",IF('Loan Inputs'!$B$14=12,DATE(YEAR('Loan Inputs'!$B$8),MONTH('Loan Inputs'!$B$8)+A1676,DAY('Loan Inputs'!$B$8)),'Loan Inputs'!$B$8+A1676*IF('Loan Inputs'!$B$14=26,14,7)))</f>
        <v/>
      </c>
      <c r="C1676" s="2" t="str">
        <f t="shared" si="80"/>
        <v/>
      </c>
      <c r="D1676" s="2" t="str">
        <f>IF(A1676="","",MIN('Loan Inputs'!$B$17,C1676+E1676)+H1676)</f>
        <v/>
      </c>
      <c r="E1676" s="2" t="str">
        <f>IF(A1676="","",C1676*'Loan Inputs'!$B$15)</f>
        <v/>
      </c>
      <c r="F1676" s="2" t="str">
        <f t="shared" si="78"/>
        <v/>
      </c>
      <c r="G1676" s="2" t="str">
        <f t="shared" si="79"/>
        <v/>
      </c>
      <c r="H1676" s="2" t="str">
        <f>IF(A1676="","",MIN('Loan Inputs'!$B$18,MAX(0,C1676+E1676-'Loan Inputs'!$B$17)))</f>
        <v/>
      </c>
    </row>
    <row r="1677" spans="1:8" ht="22" customHeight="1">
      <c r="A1677" s="1" t="str">
        <f>IF(AND('Loan Inputs'!$B$12,1671&lt;=IF('Loan Inputs'!$B$12,'Loan Inputs'!$B$7,0)*'Loan Inputs'!$B$14+5*'Loan Inputs'!$B$14,ISNUMBER(G1676),G1676&gt;0),1671,"")</f>
        <v/>
      </c>
      <c r="B1677" s="4" t="str">
        <f>IF(A1677="","",IF('Loan Inputs'!$B$14=12,DATE(YEAR('Loan Inputs'!$B$8),MONTH('Loan Inputs'!$B$8)+A1677,DAY('Loan Inputs'!$B$8)),'Loan Inputs'!$B$8+A1677*IF('Loan Inputs'!$B$14=26,14,7)))</f>
        <v/>
      </c>
      <c r="C1677" s="2" t="str">
        <f t="shared" si="80"/>
        <v/>
      </c>
      <c r="D1677" s="2" t="str">
        <f>IF(A1677="","",MIN('Loan Inputs'!$B$17,C1677+E1677)+H1677)</f>
        <v/>
      </c>
      <c r="E1677" s="2" t="str">
        <f>IF(A1677="","",C1677*'Loan Inputs'!$B$15)</f>
        <v/>
      </c>
      <c r="F1677" s="2" t="str">
        <f t="shared" si="78"/>
        <v/>
      </c>
      <c r="G1677" s="2" t="str">
        <f t="shared" si="79"/>
        <v/>
      </c>
      <c r="H1677" s="2" t="str">
        <f>IF(A1677="","",MIN('Loan Inputs'!$B$18,MAX(0,C1677+E1677-'Loan Inputs'!$B$17)))</f>
        <v/>
      </c>
    </row>
    <row r="1678" spans="1:8" ht="22" customHeight="1">
      <c r="A1678" s="1" t="str">
        <f>IF(AND('Loan Inputs'!$B$12,1672&lt;=IF('Loan Inputs'!$B$12,'Loan Inputs'!$B$7,0)*'Loan Inputs'!$B$14+5*'Loan Inputs'!$B$14,ISNUMBER(G1677),G1677&gt;0),1672,"")</f>
        <v/>
      </c>
      <c r="B1678" s="4" t="str">
        <f>IF(A1678="","",IF('Loan Inputs'!$B$14=12,DATE(YEAR('Loan Inputs'!$B$8),MONTH('Loan Inputs'!$B$8)+A1678,DAY('Loan Inputs'!$B$8)),'Loan Inputs'!$B$8+A1678*IF('Loan Inputs'!$B$14=26,14,7)))</f>
        <v/>
      </c>
      <c r="C1678" s="2" t="str">
        <f t="shared" si="80"/>
        <v/>
      </c>
      <c r="D1678" s="2" t="str">
        <f>IF(A1678="","",MIN('Loan Inputs'!$B$17,C1678+E1678)+H1678)</f>
        <v/>
      </c>
      <c r="E1678" s="2" t="str">
        <f>IF(A1678="","",C1678*'Loan Inputs'!$B$15)</f>
        <v/>
      </c>
      <c r="F1678" s="2" t="str">
        <f t="shared" si="78"/>
        <v/>
      </c>
      <c r="G1678" s="2" t="str">
        <f t="shared" si="79"/>
        <v/>
      </c>
      <c r="H1678" s="2" t="str">
        <f>IF(A1678="","",MIN('Loan Inputs'!$B$18,MAX(0,C1678+E1678-'Loan Inputs'!$B$17)))</f>
        <v/>
      </c>
    </row>
    <row r="1679" spans="1:8" ht="22" customHeight="1">
      <c r="A1679" s="1" t="str">
        <f>IF(AND('Loan Inputs'!$B$12,1673&lt;=IF('Loan Inputs'!$B$12,'Loan Inputs'!$B$7,0)*'Loan Inputs'!$B$14+5*'Loan Inputs'!$B$14,ISNUMBER(G1678),G1678&gt;0),1673,"")</f>
        <v/>
      </c>
      <c r="B1679" s="4" t="str">
        <f>IF(A1679="","",IF('Loan Inputs'!$B$14=12,DATE(YEAR('Loan Inputs'!$B$8),MONTH('Loan Inputs'!$B$8)+A1679,DAY('Loan Inputs'!$B$8)),'Loan Inputs'!$B$8+A1679*IF('Loan Inputs'!$B$14=26,14,7)))</f>
        <v/>
      </c>
      <c r="C1679" s="2" t="str">
        <f t="shared" si="80"/>
        <v/>
      </c>
      <c r="D1679" s="2" t="str">
        <f>IF(A1679="","",MIN('Loan Inputs'!$B$17,C1679+E1679)+H1679)</f>
        <v/>
      </c>
      <c r="E1679" s="2" t="str">
        <f>IF(A1679="","",C1679*'Loan Inputs'!$B$15)</f>
        <v/>
      </c>
      <c r="F1679" s="2" t="str">
        <f t="shared" si="78"/>
        <v/>
      </c>
      <c r="G1679" s="2" t="str">
        <f t="shared" si="79"/>
        <v/>
      </c>
      <c r="H1679" s="2" t="str">
        <f>IF(A1679="","",MIN('Loan Inputs'!$B$18,MAX(0,C1679+E1679-'Loan Inputs'!$B$17)))</f>
        <v/>
      </c>
    </row>
    <row r="1680" spans="1:8" ht="22" customHeight="1">
      <c r="A1680" s="1" t="str">
        <f>IF(AND('Loan Inputs'!$B$12,1674&lt;=IF('Loan Inputs'!$B$12,'Loan Inputs'!$B$7,0)*'Loan Inputs'!$B$14+5*'Loan Inputs'!$B$14,ISNUMBER(G1679),G1679&gt;0),1674,"")</f>
        <v/>
      </c>
      <c r="B1680" s="4" t="str">
        <f>IF(A1680="","",IF('Loan Inputs'!$B$14=12,DATE(YEAR('Loan Inputs'!$B$8),MONTH('Loan Inputs'!$B$8)+A1680,DAY('Loan Inputs'!$B$8)),'Loan Inputs'!$B$8+A1680*IF('Loan Inputs'!$B$14=26,14,7)))</f>
        <v/>
      </c>
      <c r="C1680" s="2" t="str">
        <f t="shared" si="80"/>
        <v/>
      </c>
      <c r="D1680" s="2" t="str">
        <f>IF(A1680="","",MIN('Loan Inputs'!$B$17,C1680+E1680)+H1680)</f>
        <v/>
      </c>
      <c r="E1680" s="2" t="str">
        <f>IF(A1680="","",C1680*'Loan Inputs'!$B$15)</f>
        <v/>
      </c>
      <c r="F1680" s="2" t="str">
        <f t="shared" si="78"/>
        <v/>
      </c>
      <c r="G1680" s="2" t="str">
        <f t="shared" si="79"/>
        <v/>
      </c>
      <c r="H1680" s="2" t="str">
        <f>IF(A1680="","",MIN('Loan Inputs'!$B$18,MAX(0,C1680+E1680-'Loan Inputs'!$B$17)))</f>
        <v/>
      </c>
    </row>
    <row r="1681" spans="1:8" ht="22" customHeight="1">
      <c r="A1681" s="1" t="str">
        <f>IF(AND('Loan Inputs'!$B$12,1675&lt;=IF('Loan Inputs'!$B$12,'Loan Inputs'!$B$7,0)*'Loan Inputs'!$B$14+5*'Loan Inputs'!$B$14,ISNUMBER(G1680),G1680&gt;0),1675,"")</f>
        <v/>
      </c>
      <c r="B1681" s="4" t="str">
        <f>IF(A1681="","",IF('Loan Inputs'!$B$14=12,DATE(YEAR('Loan Inputs'!$B$8),MONTH('Loan Inputs'!$B$8)+A1681,DAY('Loan Inputs'!$B$8)),'Loan Inputs'!$B$8+A1681*IF('Loan Inputs'!$B$14=26,14,7)))</f>
        <v/>
      </c>
      <c r="C1681" s="2" t="str">
        <f t="shared" si="80"/>
        <v/>
      </c>
      <c r="D1681" s="2" t="str">
        <f>IF(A1681="","",MIN('Loan Inputs'!$B$17,C1681+E1681)+H1681)</f>
        <v/>
      </c>
      <c r="E1681" s="2" t="str">
        <f>IF(A1681="","",C1681*'Loan Inputs'!$B$15)</f>
        <v/>
      </c>
      <c r="F1681" s="2" t="str">
        <f t="shared" si="78"/>
        <v/>
      </c>
      <c r="G1681" s="2" t="str">
        <f t="shared" si="79"/>
        <v/>
      </c>
      <c r="H1681" s="2" t="str">
        <f>IF(A1681="","",MIN('Loan Inputs'!$B$18,MAX(0,C1681+E1681-'Loan Inputs'!$B$17)))</f>
        <v/>
      </c>
    </row>
    <row r="1682" spans="1:8" ht="22" customHeight="1">
      <c r="A1682" s="1" t="str">
        <f>IF(AND('Loan Inputs'!$B$12,1676&lt;=IF('Loan Inputs'!$B$12,'Loan Inputs'!$B$7,0)*'Loan Inputs'!$B$14+5*'Loan Inputs'!$B$14,ISNUMBER(G1681),G1681&gt;0),1676,"")</f>
        <v/>
      </c>
      <c r="B1682" s="4" t="str">
        <f>IF(A1682="","",IF('Loan Inputs'!$B$14=12,DATE(YEAR('Loan Inputs'!$B$8),MONTH('Loan Inputs'!$B$8)+A1682,DAY('Loan Inputs'!$B$8)),'Loan Inputs'!$B$8+A1682*IF('Loan Inputs'!$B$14=26,14,7)))</f>
        <v/>
      </c>
      <c r="C1682" s="2" t="str">
        <f t="shared" si="80"/>
        <v/>
      </c>
      <c r="D1682" s="2" t="str">
        <f>IF(A1682="","",MIN('Loan Inputs'!$B$17,C1682+E1682)+H1682)</f>
        <v/>
      </c>
      <c r="E1682" s="2" t="str">
        <f>IF(A1682="","",C1682*'Loan Inputs'!$B$15)</f>
        <v/>
      </c>
      <c r="F1682" s="2" t="str">
        <f t="shared" si="78"/>
        <v/>
      </c>
      <c r="G1682" s="2" t="str">
        <f t="shared" si="79"/>
        <v/>
      </c>
      <c r="H1682" s="2" t="str">
        <f>IF(A1682="","",MIN('Loan Inputs'!$B$18,MAX(0,C1682+E1682-'Loan Inputs'!$B$17)))</f>
        <v/>
      </c>
    </row>
    <row r="1683" spans="1:8" ht="22" customHeight="1">
      <c r="A1683" s="1" t="str">
        <f>IF(AND('Loan Inputs'!$B$12,1677&lt;=IF('Loan Inputs'!$B$12,'Loan Inputs'!$B$7,0)*'Loan Inputs'!$B$14+5*'Loan Inputs'!$B$14,ISNUMBER(G1682),G1682&gt;0),1677,"")</f>
        <v/>
      </c>
      <c r="B1683" s="4" t="str">
        <f>IF(A1683="","",IF('Loan Inputs'!$B$14=12,DATE(YEAR('Loan Inputs'!$B$8),MONTH('Loan Inputs'!$B$8)+A1683,DAY('Loan Inputs'!$B$8)),'Loan Inputs'!$B$8+A1683*IF('Loan Inputs'!$B$14=26,14,7)))</f>
        <v/>
      </c>
      <c r="C1683" s="2" t="str">
        <f t="shared" si="80"/>
        <v/>
      </c>
      <c r="D1683" s="2" t="str">
        <f>IF(A1683="","",MIN('Loan Inputs'!$B$17,C1683+E1683)+H1683)</f>
        <v/>
      </c>
      <c r="E1683" s="2" t="str">
        <f>IF(A1683="","",C1683*'Loan Inputs'!$B$15)</f>
        <v/>
      </c>
      <c r="F1683" s="2" t="str">
        <f t="shared" si="78"/>
        <v/>
      </c>
      <c r="G1683" s="2" t="str">
        <f t="shared" si="79"/>
        <v/>
      </c>
      <c r="H1683" s="2" t="str">
        <f>IF(A1683="","",MIN('Loan Inputs'!$B$18,MAX(0,C1683+E1683-'Loan Inputs'!$B$17)))</f>
        <v/>
      </c>
    </row>
    <row r="1684" spans="1:8" ht="22" customHeight="1">
      <c r="A1684" s="1" t="str">
        <f>IF(AND('Loan Inputs'!$B$12,1678&lt;=IF('Loan Inputs'!$B$12,'Loan Inputs'!$B$7,0)*'Loan Inputs'!$B$14+5*'Loan Inputs'!$B$14,ISNUMBER(G1683),G1683&gt;0),1678,"")</f>
        <v/>
      </c>
      <c r="B1684" s="4" t="str">
        <f>IF(A1684="","",IF('Loan Inputs'!$B$14=12,DATE(YEAR('Loan Inputs'!$B$8),MONTH('Loan Inputs'!$B$8)+A1684,DAY('Loan Inputs'!$B$8)),'Loan Inputs'!$B$8+A1684*IF('Loan Inputs'!$B$14=26,14,7)))</f>
        <v/>
      </c>
      <c r="C1684" s="2" t="str">
        <f t="shared" si="80"/>
        <v/>
      </c>
      <c r="D1684" s="2" t="str">
        <f>IF(A1684="","",MIN('Loan Inputs'!$B$17,C1684+E1684)+H1684)</f>
        <v/>
      </c>
      <c r="E1684" s="2" t="str">
        <f>IF(A1684="","",C1684*'Loan Inputs'!$B$15)</f>
        <v/>
      </c>
      <c r="F1684" s="2" t="str">
        <f t="shared" si="78"/>
        <v/>
      </c>
      <c r="G1684" s="2" t="str">
        <f t="shared" si="79"/>
        <v/>
      </c>
      <c r="H1684" s="2" t="str">
        <f>IF(A1684="","",MIN('Loan Inputs'!$B$18,MAX(0,C1684+E1684-'Loan Inputs'!$B$17)))</f>
        <v/>
      </c>
    </row>
    <row r="1685" spans="1:8" ht="22" customHeight="1">
      <c r="A1685" s="1" t="str">
        <f>IF(AND('Loan Inputs'!$B$12,1679&lt;=IF('Loan Inputs'!$B$12,'Loan Inputs'!$B$7,0)*'Loan Inputs'!$B$14+5*'Loan Inputs'!$B$14,ISNUMBER(G1684),G1684&gt;0),1679,"")</f>
        <v/>
      </c>
      <c r="B1685" s="4" t="str">
        <f>IF(A1685="","",IF('Loan Inputs'!$B$14=12,DATE(YEAR('Loan Inputs'!$B$8),MONTH('Loan Inputs'!$B$8)+A1685,DAY('Loan Inputs'!$B$8)),'Loan Inputs'!$B$8+A1685*IF('Loan Inputs'!$B$14=26,14,7)))</f>
        <v/>
      </c>
      <c r="C1685" s="2" t="str">
        <f t="shared" si="80"/>
        <v/>
      </c>
      <c r="D1685" s="2" t="str">
        <f>IF(A1685="","",MIN('Loan Inputs'!$B$17,C1685+E1685)+H1685)</f>
        <v/>
      </c>
      <c r="E1685" s="2" t="str">
        <f>IF(A1685="","",C1685*'Loan Inputs'!$B$15)</f>
        <v/>
      </c>
      <c r="F1685" s="2" t="str">
        <f t="shared" si="78"/>
        <v/>
      </c>
      <c r="G1685" s="2" t="str">
        <f t="shared" si="79"/>
        <v/>
      </c>
      <c r="H1685" s="2" t="str">
        <f>IF(A1685="","",MIN('Loan Inputs'!$B$18,MAX(0,C1685+E1685-'Loan Inputs'!$B$17)))</f>
        <v/>
      </c>
    </row>
    <row r="1686" spans="1:8" ht="22" customHeight="1">
      <c r="A1686" s="1" t="str">
        <f>IF(AND('Loan Inputs'!$B$12,1680&lt;=IF('Loan Inputs'!$B$12,'Loan Inputs'!$B$7,0)*'Loan Inputs'!$B$14+5*'Loan Inputs'!$B$14,ISNUMBER(G1685),G1685&gt;0),1680,"")</f>
        <v/>
      </c>
      <c r="B1686" s="4" t="str">
        <f>IF(A1686="","",IF('Loan Inputs'!$B$14=12,DATE(YEAR('Loan Inputs'!$B$8),MONTH('Loan Inputs'!$B$8)+A1686,DAY('Loan Inputs'!$B$8)),'Loan Inputs'!$B$8+A1686*IF('Loan Inputs'!$B$14=26,14,7)))</f>
        <v/>
      </c>
      <c r="C1686" s="2" t="str">
        <f t="shared" si="80"/>
        <v/>
      </c>
      <c r="D1686" s="2" t="str">
        <f>IF(A1686="","",MIN('Loan Inputs'!$B$17,C1686+E1686)+H1686)</f>
        <v/>
      </c>
      <c r="E1686" s="2" t="str">
        <f>IF(A1686="","",C1686*'Loan Inputs'!$B$15)</f>
        <v/>
      </c>
      <c r="F1686" s="2" t="str">
        <f t="shared" si="78"/>
        <v/>
      </c>
      <c r="G1686" s="2" t="str">
        <f t="shared" si="79"/>
        <v/>
      </c>
      <c r="H1686" s="2" t="str">
        <f>IF(A1686="","",MIN('Loan Inputs'!$B$18,MAX(0,C1686+E1686-'Loan Inputs'!$B$17)))</f>
        <v/>
      </c>
    </row>
    <row r="1687" spans="1:8" ht="22" customHeight="1">
      <c r="A1687" s="1" t="str">
        <f>IF(AND('Loan Inputs'!$B$12,1681&lt;=IF('Loan Inputs'!$B$12,'Loan Inputs'!$B$7,0)*'Loan Inputs'!$B$14+5*'Loan Inputs'!$B$14,ISNUMBER(G1686),G1686&gt;0),1681,"")</f>
        <v/>
      </c>
      <c r="B1687" s="4" t="str">
        <f>IF(A1687="","",IF('Loan Inputs'!$B$14=12,DATE(YEAR('Loan Inputs'!$B$8),MONTH('Loan Inputs'!$B$8)+A1687,DAY('Loan Inputs'!$B$8)),'Loan Inputs'!$B$8+A1687*IF('Loan Inputs'!$B$14=26,14,7)))</f>
        <v/>
      </c>
      <c r="C1687" s="2" t="str">
        <f t="shared" si="80"/>
        <v/>
      </c>
      <c r="D1687" s="2" t="str">
        <f>IF(A1687="","",MIN('Loan Inputs'!$B$17,C1687+E1687)+H1687)</f>
        <v/>
      </c>
      <c r="E1687" s="2" t="str">
        <f>IF(A1687="","",C1687*'Loan Inputs'!$B$15)</f>
        <v/>
      </c>
      <c r="F1687" s="2" t="str">
        <f t="shared" si="78"/>
        <v/>
      </c>
      <c r="G1687" s="2" t="str">
        <f t="shared" si="79"/>
        <v/>
      </c>
      <c r="H1687" s="2" t="str">
        <f>IF(A1687="","",MIN('Loan Inputs'!$B$18,MAX(0,C1687+E1687-'Loan Inputs'!$B$17)))</f>
        <v/>
      </c>
    </row>
    <row r="1688" spans="1:8" ht="22" customHeight="1">
      <c r="A1688" s="1" t="str">
        <f>IF(AND('Loan Inputs'!$B$12,1682&lt;=IF('Loan Inputs'!$B$12,'Loan Inputs'!$B$7,0)*'Loan Inputs'!$B$14+5*'Loan Inputs'!$B$14,ISNUMBER(G1687),G1687&gt;0),1682,"")</f>
        <v/>
      </c>
      <c r="B1688" s="4" t="str">
        <f>IF(A1688="","",IF('Loan Inputs'!$B$14=12,DATE(YEAR('Loan Inputs'!$B$8),MONTH('Loan Inputs'!$B$8)+A1688,DAY('Loan Inputs'!$B$8)),'Loan Inputs'!$B$8+A1688*IF('Loan Inputs'!$B$14=26,14,7)))</f>
        <v/>
      </c>
      <c r="C1688" s="2" t="str">
        <f t="shared" si="80"/>
        <v/>
      </c>
      <c r="D1688" s="2" t="str">
        <f>IF(A1688="","",MIN('Loan Inputs'!$B$17,C1688+E1688)+H1688)</f>
        <v/>
      </c>
      <c r="E1688" s="2" t="str">
        <f>IF(A1688="","",C1688*'Loan Inputs'!$B$15)</f>
        <v/>
      </c>
      <c r="F1688" s="2" t="str">
        <f t="shared" si="78"/>
        <v/>
      </c>
      <c r="G1688" s="2" t="str">
        <f t="shared" si="79"/>
        <v/>
      </c>
      <c r="H1688" s="2" t="str">
        <f>IF(A1688="","",MIN('Loan Inputs'!$B$18,MAX(0,C1688+E1688-'Loan Inputs'!$B$17)))</f>
        <v/>
      </c>
    </row>
    <row r="1689" spans="1:8" ht="22" customHeight="1">
      <c r="A1689" s="1" t="str">
        <f>IF(AND('Loan Inputs'!$B$12,1683&lt;=IF('Loan Inputs'!$B$12,'Loan Inputs'!$B$7,0)*'Loan Inputs'!$B$14+5*'Loan Inputs'!$B$14,ISNUMBER(G1688),G1688&gt;0),1683,"")</f>
        <v/>
      </c>
      <c r="B1689" s="4" t="str">
        <f>IF(A1689="","",IF('Loan Inputs'!$B$14=12,DATE(YEAR('Loan Inputs'!$B$8),MONTH('Loan Inputs'!$B$8)+A1689,DAY('Loan Inputs'!$B$8)),'Loan Inputs'!$B$8+A1689*IF('Loan Inputs'!$B$14=26,14,7)))</f>
        <v/>
      </c>
      <c r="C1689" s="2" t="str">
        <f t="shared" si="80"/>
        <v/>
      </c>
      <c r="D1689" s="2" t="str">
        <f>IF(A1689="","",MIN('Loan Inputs'!$B$17,C1689+E1689)+H1689)</f>
        <v/>
      </c>
      <c r="E1689" s="2" t="str">
        <f>IF(A1689="","",C1689*'Loan Inputs'!$B$15)</f>
        <v/>
      </c>
      <c r="F1689" s="2" t="str">
        <f t="shared" si="78"/>
        <v/>
      </c>
      <c r="G1689" s="2" t="str">
        <f t="shared" si="79"/>
        <v/>
      </c>
      <c r="H1689" s="2" t="str">
        <f>IF(A1689="","",MIN('Loan Inputs'!$B$18,MAX(0,C1689+E1689-'Loan Inputs'!$B$17)))</f>
        <v/>
      </c>
    </row>
    <row r="1690" spans="1:8" ht="22" customHeight="1">
      <c r="A1690" s="1" t="str">
        <f>IF(AND('Loan Inputs'!$B$12,1684&lt;=IF('Loan Inputs'!$B$12,'Loan Inputs'!$B$7,0)*'Loan Inputs'!$B$14+5*'Loan Inputs'!$B$14,ISNUMBER(G1689),G1689&gt;0),1684,"")</f>
        <v/>
      </c>
      <c r="B1690" s="4" t="str">
        <f>IF(A1690="","",IF('Loan Inputs'!$B$14=12,DATE(YEAR('Loan Inputs'!$B$8),MONTH('Loan Inputs'!$B$8)+A1690,DAY('Loan Inputs'!$B$8)),'Loan Inputs'!$B$8+A1690*IF('Loan Inputs'!$B$14=26,14,7)))</f>
        <v/>
      </c>
      <c r="C1690" s="2" t="str">
        <f t="shared" si="80"/>
        <v/>
      </c>
      <c r="D1690" s="2" t="str">
        <f>IF(A1690="","",MIN('Loan Inputs'!$B$17,C1690+E1690)+H1690)</f>
        <v/>
      </c>
      <c r="E1690" s="2" t="str">
        <f>IF(A1690="","",C1690*'Loan Inputs'!$B$15)</f>
        <v/>
      </c>
      <c r="F1690" s="2" t="str">
        <f t="shared" si="78"/>
        <v/>
      </c>
      <c r="G1690" s="2" t="str">
        <f t="shared" si="79"/>
        <v/>
      </c>
      <c r="H1690" s="2" t="str">
        <f>IF(A1690="","",MIN('Loan Inputs'!$B$18,MAX(0,C1690+E1690-'Loan Inputs'!$B$17)))</f>
        <v/>
      </c>
    </row>
    <row r="1691" spans="1:8" ht="22" customHeight="1">
      <c r="A1691" s="1" t="str">
        <f>IF(AND('Loan Inputs'!$B$12,1685&lt;=IF('Loan Inputs'!$B$12,'Loan Inputs'!$B$7,0)*'Loan Inputs'!$B$14+5*'Loan Inputs'!$B$14,ISNUMBER(G1690),G1690&gt;0),1685,"")</f>
        <v/>
      </c>
      <c r="B1691" s="4" t="str">
        <f>IF(A1691="","",IF('Loan Inputs'!$B$14=12,DATE(YEAR('Loan Inputs'!$B$8),MONTH('Loan Inputs'!$B$8)+A1691,DAY('Loan Inputs'!$B$8)),'Loan Inputs'!$B$8+A1691*IF('Loan Inputs'!$B$14=26,14,7)))</f>
        <v/>
      </c>
      <c r="C1691" s="2" t="str">
        <f t="shared" si="80"/>
        <v/>
      </c>
      <c r="D1691" s="2" t="str">
        <f>IF(A1691="","",MIN('Loan Inputs'!$B$17,C1691+E1691)+H1691)</f>
        <v/>
      </c>
      <c r="E1691" s="2" t="str">
        <f>IF(A1691="","",C1691*'Loan Inputs'!$B$15)</f>
        <v/>
      </c>
      <c r="F1691" s="2" t="str">
        <f t="shared" si="78"/>
        <v/>
      </c>
      <c r="G1691" s="2" t="str">
        <f t="shared" si="79"/>
        <v/>
      </c>
      <c r="H1691" s="2" t="str">
        <f>IF(A1691="","",MIN('Loan Inputs'!$B$18,MAX(0,C1691+E1691-'Loan Inputs'!$B$17)))</f>
        <v/>
      </c>
    </row>
    <row r="1692" spans="1:8" ht="22" customHeight="1">
      <c r="A1692" s="1" t="str">
        <f>IF(AND('Loan Inputs'!$B$12,1686&lt;=IF('Loan Inputs'!$B$12,'Loan Inputs'!$B$7,0)*'Loan Inputs'!$B$14+5*'Loan Inputs'!$B$14,ISNUMBER(G1691),G1691&gt;0),1686,"")</f>
        <v/>
      </c>
      <c r="B1692" s="4" t="str">
        <f>IF(A1692="","",IF('Loan Inputs'!$B$14=12,DATE(YEAR('Loan Inputs'!$B$8),MONTH('Loan Inputs'!$B$8)+A1692,DAY('Loan Inputs'!$B$8)),'Loan Inputs'!$B$8+A1692*IF('Loan Inputs'!$B$14=26,14,7)))</f>
        <v/>
      </c>
      <c r="C1692" s="2" t="str">
        <f t="shared" si="80"/>
        <v/>
      </c>
      <c r="D1692" s="2" t="str">
        <f>IF(A1692="","",MIN('Loan Inputs'!$B$17,C1692+E1692)+H1692)</f>
        <v/>
      </c>
      <c r="E1692" s="2" t="str">
        <f>IF(A1692="","",C1692*'Loan Inputs'!$B$15)</f>
        <v/>
      </c>
      <c r="F1692" s="2" t="str">
        <f t="shared" si="78"/>
        <v/>
      </c>
      <c r="G1692" s="2" t="str">
        <f t="shared" si="79"/>
        <v/>
      </c>
      <c r="H1692" s="2" t="str">
        <f>IF(A1692="","",MIN('Loan Inputs'!$B$18,MAX(0,C1692+E1692-'Loan Inputs'!$B$17)))</f>
        <v/>
      </c>
    </row>
    <row r="1693" spans="1:8" ht="22" customHeight="1">
      <c r="A1693" s="1" t="str">
        <f>IF(AND('Loan Inputs'!$B$12,1687&lt;=IF('Loan Inputs'!$B$12,'Loan Inputs'!$B$7,0)*'Loan Inputs'!$B$14+5*'Loan Inputs'!$B$14,ISNUMBER(G1692),G1692&gt;0),1687,"")</f>
        <v/>
      </c>
      <c r="B1693" s="4" t="str">
        <f>IF(A1693="","",IF('Loan Inputs'!$B$14=12,DATE(YEAR('Loan Inputs'!$B$8),MONTH('Loan Inputs'!$B$8)+A1693,DAY('Loan Inputs'!$B$8)),'Loan Inputs'!$B$8+A1693*IF('Loan Inputs'!$B$14=26,14,7)))</f>
        <v/>
      </c>
      <c r="C1693" s="2" t="str">
        <f t="shared" si="80"/>
        <v/>
      </c>
      <c r="D1693" s="2" t="str">
        <f>IF(A1693="","",MIN('Loan Inputs'!$B$17,C1693+E1693)+H1693)</f>
        <v/>
      </c>
      <c r="E1693" s="2" t="str">
        <f>IF(A1693="","",C1693*'Loan Inputs'!$B$15)</f>
        <v/>
      </c>
      <c r="F1693" s="2" t="str">
        <f t="shared" si="78"/>
        <v/>
      </c>
      <c r="G1693" s="2" t="str">
        <f t="shared" si="79"/>
        <v/>
      </c>
      <c r="H1693" s="2" t="str">
        <f>IF(A1693="","",MIN('Loan Inputs'!$B$18,MAX(0,C1693+E1693-'Loan Inputs'!$B$17)))</f>
        <v/>
      </c>
    </row>
    <row r="1694" spans="1:8" ht="22" customHeight="1">
      <c r="A1694" s="1" t="str">
        <f>IF(AND('Loan Inputs'!$B$12,1688&lt;=IF('Loan Inputs'!$B$12,'Loan Inputs'!$B$7,0)*'Loan Inputs'!$B$14+5*'Loan Inputs'!$B$14,ISNUMBER(G1693),G1693&gt;0),1688,"")</f>
        <v/>
      </c>
      <c r="B1694" s="4" t="str">
        <f>IF(A1694="","",IF('Loan Inputs'!$B$14=12,DATE(YEAR('Loan Inputs'!$B$8),MONTH('Loan Inputs'!$B$8)+A1694,DAY('Loan Inputs'!$B$8)),'Loan Inputs'!$B$8+A1694*IF('Loan Inputs'!$B$14=26,14,7)))</f>
        <v/>
      </c>
      <c r="C1694" s="2" t="str">
        <f t="shared" si="80"/>
        <v/>
      </c>
      <c r="D1694" s="2" t="str">
        <f>IF(A1694="","",MIN('Loan Inputs'!$B$17,C1694+E1694)+H1694)</f>
        <v/>
      </c>
      <c r="E1694" s="2" t="str">
        <f>IF(A1694="","",C1694*'Loan Inputs'!$B$15)</f>
        <v/>
      </c>
      <c r="F1694" s="2" t="str">
        <f t="shared" si="78"/>
        <v/>
      </c>
      <c r="G1694" s="2" t="str">
        <f t="shared" si="79"/>
        <v/>
      </c>
      <c r="H1694" s="2" t="str">
        <f>IF(A1694="","",MIN('Loan Inputs'!$B$18,MAX(0,C1694+E1694-'Loan Inputs'!$B$17)))</f>
        <v/>
      </c>
    </row>
    <row r="1695" spans="1:8" ht="22" customHeight="1">
      <c r="A1695" s="1" t="str">
        <f>IF(AND('Loan Inputs'!$B$12,1689&lt;=IF('Loan Inputs'!$B$12,'Loan Inputs'!$B$7,0)*'Loan Inputs'!$B$14+5*'Loan Inputs'!$B$14,ISNUMBER(G1694),G1694&gt;0),1689,"")</f>
        <v/>
      </c>
      <c r="B1695" s="4" t="str">
        <f>IF(A1695="","",IF('Loan Inputs'!$B$14=12,DATE(YEAR('Loan Inputs'!$B$8),MONTH('Loan Inputs'!$B$8)+A1695,DAY('Loan Inputs'!$B$8)),'Loan Inputs'!$B$8+A1695*IF('Loan Inputs'!$B$14=26,14,7)))</f>
        <v/>
      </c>
      <c r="C1695" s="2" t="str">
        <f t="shared" si="80"/>
        <v/>
      </c>
      <c r="D1695" s="2" t="str">
        <f>IF(A1695="","",MIN('Loan Inputs'!$B$17,C1695+E1695)+H1695)</f>
        <v/>
      </c>
      <c r="E1695" s="2" t="str">
        <f>IF(A1695="","",C1695*'Loan Inputs'!$B$15)</f>
        <v/>
      </c>
      <c r="F1695" s="2" t="str">
        <f t="shared" si="78"/>
        <v/>
      </c>
      <c r="G1695" s="2" t="str">
        <f t="shared" si="79"/>
        <v/>
      </c>
      <c r="H1695" s="2" t="str">
        <f>IF(A1695="","",MIN('Loan Inputs'!$B$18,MAX(0,C1695+E1695-'Loan Inputs'!$B$17)))</f>
        <v/>
      </c>
    </row>
    <row r="1696" spans="1:8" ht="22" customHeight="1">
      <c r="A1696" s="1" t="str">
        <f>IF(AND('Loan Inputs'!$B$12,1690&lt;=IF('Loan Inputs'!$B$12,'Loan Inputs'!$B$7,0)*'Loan Inputs'!$B$14+5*'Loan Inputs'!$B$14,ISNUMBER(G1695),G1695&gt;0),1690,"")</f>
        <v/>
      </c>
      <c r="B1696" s="4" t="str">
        <f>IF(A1696="","",IF('Loan Inputs'!$B$14=12,DATE(YEAR('Loan Inputs'!$B$8),MONTH('Loan Inputs'!$B$8)+A1696,DAY('Loan Inputs'!$B$8)),'Loan Inputs'!$B$8+A1696*IF('Loan Inputs'!$B$14=26,14,7)))</f>
        <v/>
      </c>
      <c r="C1696" s="2" t="str">
        <f t="shared" si="80"/>
        <v/>
      </c>
      <c r="D1696" s="2" t="str">
        <f>IF(A1696="","",MIN('Loan Inputs'!$B$17,C1696+E1696)+H1696)</f>
        <v/>
      </c>
      <c r="E1696" s="2" t="str">
        <f>IF(A1696="","",C1696*'Loan Inputs'!$B$15)</f>
        <v/>
      </c>
      <c r="F1696" s="2" t="str">
        <f t="shared" si="78"/>
        <v/>
      </c>
      <c r="G1696" s="2" t="str">
        <f t="shared" si="79"/>
        <v/>
      </c>
      <c r="H1696" s="2" t="str">
        <f>IF(A1696="","",MIN('Loan Inputs'!$B$18,MAX(0,C1696+E1696-'Loan Inputs'!$B$17)))</f>
        <v/>
      </c>
    </row>
    <row r="1697" spans="1:8" ht="22" customHeight="1">
      <c r="A1697" s="1" t="str">
        <f>IF(AND('Loan Inputs'!$B$12,1691&lt;=IF('Loan Inputs'!$B$12,'Loan Inputs'!$B$7,0)*'Loan Inputs'!$B$14+5*'Loan Inputs'!$B$14,ISNUMBER(G1696),G1696&gt;0),1691,"")</f>
        <v/>
      </c>
      <c r="B1697" s="4" t="str">
        <f>IF(A1697="","",IF('Loan Inputs'!$B$14=12,DATE(YEAR('Loan Inputs'!$B$8),MONTH('Loan Inputs'!$B$8)+A1697,DAY('Loan Inputs'!$B$8)),'Loan Inputs'!$B$8+A1697*IF('Loan Inputs'!$B$14=26,14,7)))</f>
        <v/>
      </c>
      <c r="C1697" s="2" t="str">
        <f t="shared" si="80"/>
        <v/>
      </c>
      <c r="D1697" s="2" t="str">
        <f>IF(A1697="","",MIN('Loan Inputs'!$B$17,C1697+E1697)+H1697)</f>
        <v/>
      </c>
      <c r="E1697" s="2" t="str">
        <f>IF(A1697="","",C1697*'Loan Inputs'!$B$15)</f>
        <v/>
      </c>
      <c r="F1697" s="2" t="str">
        <f t="shared" si="78"/>
        <v/>
      </c>
      <c r="G1697" s="2" t="str">
        <f t="shared" si="79"/>
        <v/>
      </c>
      <c r="H1697" s="2" t="str">
        <f>IF(A1697="","",MIN('Loan Inputs'!$B$18,MAX(0,C1697+E1697-'Loan Inputs'!$B$17)))</f>
        <v/>
      </c>
    </row>
    <row r="1698" spans="1:8" ht="22" customHeight="1">
      <c r="A1698" s="1" t="str">
        <f>IF(AND('Loan Inputs'!$B$12,1692&lt;=IF('Loan Inputs'!$B$12,'Loan Inputs'!$B$7,0)*'Loan Inputs'!$B$14+5*'Loan Inputs'!$B$14,ISNUMBER(G1697),G1697&gt;0),1692,"")</f>
        <v/>
      </c>
      <c r="B1698" s="4" t="str">
        <f>IF(A1698="","",IF('Loan Inputs'!$B$14=12,DATE(YEAR('Loan Inputs'!$B$8),MONTH('Loan Inputs'!$B$8)+A1698,DAY('Loan Inputs'!$B$8)),'Loan Inputs'!$B$8+A1698*IF('Loan Inputs'!$B$14=26,14,7)))</f>
        <v/>
      </c>
      <c r="C1698" s="2" t="str">
        <f t="shared" si="80"/>
        <v/>
      </c>
      <c r="D1698" s="2" t="str">
        <f>IF(A1698="","",MIN('Loan Inputs'!$B$17,C1698+E1698)+H1698)</f>
        <v/>
      </c>
      <c r="E1698" s="2" t="str">
        <f>IF(A1698="","",C1698*'Loan Inputs'!$B$15)</f>
        <v/>
      </c>
      <c r="F1698" s="2" t="str">
        <f t="shared" si="78"/>
        <v/>
      </c>
      <c r="G1698" s="2" t="str">
        <f t="shared" si="79"/>
        <v/>
      </c>
      <c r="H1698" s="2" t="str">
        <f>IF(A1698="","",MIN('Loan Inputs'!$B$18,MAX(0,C1698+E1698-'Loan Inputs'!$B$17)))</f>
        <v/>
      </c>
    </row>
    <row r="1699" spans="1:8" ht="22" customHeight="1">
      <c r="A1699" s="1" t="str">
        <f>IF(AND('Loan Inputs'!$B$12,1693&lt;=IF('Loan Inputs'!$B$12,'Loan Inputs'!$B$7,0)*'Loan Inputs'!$B$14+5*'Loan Inputs'!$B$14,ISNUMBER(G1698),G1698&gt;0),1693,"")</f>
        <v/>
      </c>
      <c r="B1699" s="4" t="str">
        <f>IF(A1699="","",IF('Loan Inputs'!$B$14=12,DATE(YEAR('Loan Inputs'!$B$8),MONTH('Loan Inputs'!$B$8)+A1699,DAY('Loan Inputs'!$B$8)),'Loan Inputs'!$B$8+A1699*IF('Loan Inputs'!$B$14=26,14,7)))</f>
        <v/>
      </c>
      <c r="C1699" s="2" t="str">
        <f t="shared" si="80"/>
        <v/>
      </c>
      <c r="D1699" s="2" t="str">
        <f>IF(A1699="","",MIN('Loan Inputs'!$B$17,C1699+E1699)+H1699)</f>
        <v/>
      </c>
      <c r="E1699" s="2" t="str">
        <f>IF(A1699="","",C1699*'Loan Inputs'!$B$15)</f>
        <v/>
      </c>
      <c r="F1699" s="2" t="str">
        <f t="shared" si="78"/>
        <v/>
      </c>
      <c r="G1699" s="2" t="str">
        <f t="shared" si="79"/>
        <v/>
      </c>
      <c r="H1699" s="2" t="str">
        <f>IF(A1699="","",MIN('Loan Inputs'!$B$18,MAX(0,C1699+E1699-'Loan Inputs'!$B$17)))</f>
        <v/>
      </c>
    </row>
    <row r="1700" spans="1:8" ht="22" customHeight="1">
      <c r="A1700" s="1" t="str">
        <f>IF(AND('Loan Inputs'!$B$12,1694&lt;=IF('Loan Inputs'!$B$12,'Loan Inputs'!$B$7,0)*'Loan Inputs'!$B$14+5*'Loan Inputs'!$B$14,ISNUMBER(G1699),G1699&gt;0),1694,"")</f>
        <v/>
      </c>
      <c r="B1700" s="4" t="str">
        <f>IF(A1700="","",IF('Loan Inputs'!$B$14=12,DATE(YEAR('Loan Inputs'!$B$8),MONTH('Loan Inputs'!$B$8)+A1700,DAY('Loan Inputs'!$B$8)),'Loan Inputs'!$B$8+A1700*IF('Loan Inputs'!$B$14=26,14,7)))</f>
        <v/>
      </c>
      <c r="C1700" s="2" t="str">
        <f t="shared" si="80"/>
        <v/>
      </c>
      <c r="D1700" s="2" t="str">
        <f>IF(A1700="","",MIN('Loan Inputs'!$B$17,C1700+E1700)+H1700)</f>
        <v/>
      </c>
      <c r="E1700" s="2" t="str">
        <f>IF(A1700="","",C1700*'Loan Inputs'!$B$15)</f>
        <v/>
      </c>
      <c r="F1700" s="2" t="str">
        <f t="shared" si="78"/>
        <v/>
      </c>
      <c r="G1700" s="2" t="str">
        <f t="shared" si="79"/>
        <v/>
      </c>
      <c r="H1700" s="2" t="str">
        <f>IF(A1700="","",MIN('Loan Inputs'!$B$18,MAX(0,C1700+E1700-'Loan Inputs'!$B$17)))</f>
        <v/>
      </c>
    </row>
    <row r="1701" spans="1:8" ht="22" customHeight="1">
      <c r="A1701" s="1" t="str">
        <f>IF(AND('Loan Inputs'!$B$12,1695&lt;=IF('Loan Inputs'!$B$12,'Loan Inputs'!$B$7,0)*'Loan Inputs'!$B$14+5*'Loan Inputs'!$B$14,ISNUMBER(G1700),G1700&gt;0),1695,"")</f>
        <v/>
      </c>
      <c r="B1701" s="4" t="str">
        <f>IF(A1701="","",IF('Loan Inputs'!$B$14=12,DATE(YEAR('Loan Inputs'!$B$8),MONTH('Loan Inputs'!$B$8)+A1701,DAY('Loan Inputs'!$B$8)),'Loan Inputs'!$B$8+A1701*IF('Loan Inputs'!$B$14=26,14,7)))</f>
        <v/>
      </c>
      <c r="C1701" s="2" t="str">
        <f t="shared" si="80"/>
        <v/>
      </c>
      <c r="D1701" s="2" t="str">
        <f>IF(A1701="","",MIN('Loan Inputs'!$B$17,C1701+E1701)+H1701)</f>
        <v/>
      </c>
      <c r="E1701" s="2" t="str">
        <f>IF(A1701="","",C1701*'Loan Inputs'!$B$15)</f>
        <v/>
      </c>
      <c r="F1701" s="2" t="str">
        <f t="shared" si="78"/>
        <v/>
      </c>
      <c r="G1701" s="2" t="str">
        <f t="shared" si="79"/>
        <v/>
      </c>
      <c r="H1701" s="2" t="str">
        <f>IF(A1701="","",MIN('Loan Inputs'!$B$18,MAX(0,C1701+E1701-'Loan Inputs'!$B$17)))</f>
        <v/>
      </c>
    </row>
    <row r="1702" spans="1:8" ht="22" customHeight="1">
      <c r="A1702" s="1" t="str">
        <f>IF(AND('Loan Inputs'!$B$12,1696&lt;=IF('Loan Inputs'!$B$12,'Loan Inputs'!$B$7,0)*'Loan Inputs'!$B$14+5*'Loan Inputs'!$B$14,ISNUMBER(G1701),G1701&gt;0),1696,"")</f>
        <v/>
      </c>
      <c r="B1702" s="4" t="str">
        <f>IF(A1702="","",IF('Loan Inputs'!$B$14=12,DATE(YEAR('Loan Inputs'!$B$8),MONTH('Loan Inputs'!$B$8)+A1702,DAY('Loan Inputs'!$B$8)),'Loan Inputs'!$B$8+A1702*IF('Loan Inputs'!$B$14=26,14,7)))</f>
        <v/>
      </c>
      <c r="C1702" s="2" t="str">
        <f t="shared" si="80"/>
        <v/>
      </c>
      <c r="D1702" s="2" t="str">
        <f>IF(A1702="","",MIN('Loan Inputs'!$B$17,C1702+E1702)+H1702)</f>
        <v/>
      </c>
      <c r="E1702" s="2" t="str">
        <f>IF(A1702="","",C1702*'Loan Inputs'!$B$15)</f>
        <v/>
      </c>
      <c r="F1702" s="2" t="str">
        <f t="shared" si="78"/>
        <v/>
      </c>
      <c r="G1702" s="2" t="str">
        <f t="shared" si="79"/>
        <v/>
      </c>
      <c r="H1702" s="2" t="str">
        <f>IF(A1702="","",MIN('Loan Inputs'!$B$18,MAX(0,C1702+E1702-'Loan Inputs'!$B$17)))</f>
        <v/>
      </c>
    </row>
    <row r="1703" spans="1:8" ht="22" customHeight="1">
      <c r="A1703" s="1" t="str">
        <f>IF(AND('Loan Inputs'!$B$12,1697&lt;=IF('Loan Inputs'!$B$12,'Loan Inputs'!$B$7,0)*'Loan Inputs'!$B$14+5*'Loan Inputs'!$B$14,ISNUMBER(G1702),G1702&gt;0),1697,"")</f>
        <v/>
      </c>
      <c r="B1703" s="4" t="str">
        <f>IF(A1703="","",IF('Loan Inputs'!$B$14=12,DATE(YEAR('Loan Inputs'!$B$8),MONTH('Loan Inputs'!$B$8)+A1703,DAY('Loan Inputs'!$B$8)),'Loan Inputs'!$B$8+A1703*IF('Loan Inputs'!$B$14=26,14,7)))</f>
        <v/>
      </c>
      <c r="C1703" s="2" t="str">
        <f t="shared" si="80"/>
        <v/>
      </c>
      <c r="D1703" s="2" t="str">
        <f>IF(A1703="","",MIN('Loan Inputs'!$B$17,C1703+E1703)+H1703)</f>
        <v/>
      </c>
      <c r="E1703" s="2" t="str">
        <f>IF(A1703="","",C1703*'Loan Inputs'!$B$15)</f>
        <v/>
      </c>
      <c r="F1703" s="2" t="str">
        <f t="shared" si="78"/>
        <v/>
      </c>
      <c r="G1703" s="2" t="str">
        <f t="shared" si="79"/>
        <v/>
      </c>
      <c r="H1703" s="2" t="str">
        <f>IF(A1703="","",MIN('Loan Inputs'!$B$18,MAX(0,C1703+E1703-'Loan Inputs'!$B$17)))</f>
        <v/>
      </c>
    </row>
    <row r="1704" spans="1:8" ht="22" customHeight="1">
      <c r="A1704" s="1" t="str">
        <f>IF(AND('Loan Inputs'!$B$12,1698&lt;=IF('Loan Inputs'!$B$12,'Loan Inputs'!$B$7,0)*'Loan Inputs'!$B$14+5*'Loan Inputs'!$B$14,ISNUMBER(G1703),G1703&gt;0),1698,"")</f>
        <v/>
      </c>
      <c r="B1704" s="4" t="str">
        <f>IF(A1704="","",IF('Loan Inputs'!$B$14=12,DATE(YEAR('Loan Inputs'!$B$8),MONTH('Loan Inputs'!$B$8)+A1704,DAY('Loan Inputs'!$B$8)),'Loan Inputs'!$B$8+A1704*IF('Loan Inputs'!$B$14=26,14,7)))</f>
        <v/>
      </c>
      <c r="C1704" s="2" t="str">
        <f t="shared" si="80"/>
        <v/>
      </c>
      <c r="D1704" s="2" t="str">
        <f>IF(A1704="","",MIN('Loan Inputs'!$B$17,C1704+E1704)+H1704)</f>
        <v/>
      </c>
      <c r="E1704" s="2" t="str">
        <f>IF(A1704="","",C1704*'Loan Inputs'!$B$15)</f>
        <v/>
      </c>
      <c r="F1704" s="2" t="str">
        <f t="shared" si="78"/>
        <v/>
      </c>
      <c r="G1704" s="2" t="str">
        <f t="shared" si="79"/>
        <v/>
      </c>
      <c r="H1704" s="2" t="str">
        <f>IF(A1704="","",MIN('Loan Inputs'!$B$18,MAX(0,C1704+E1704-'Loan Inputs'!$B$17)))</f>
        <v/>
      </c>
    </row>
    <row r="1705" spans="1:8" ht="22" customHeight="1">
      <c r="A1705" s="1" t="str">
        <f>IF(AND('Loan Inputs'!$B$12,1699&lt;=IF('Loan Inputs'!$B$12,'Loan Inputs'!$B$7,0)*'Loan Inputs'!$B$14+5*'Loan Inputs'!$B$14,ISNUMBER(G1704),G1704&gt;0),1699,"")</f>
        <v/>
      </c>
      <c r="B1705" s="4" t="str">
        <f>IF(A1705="","",IF('Loan Inputs'!$B$14=12,DATE(YEAR('Loan Inputs'!$B$8),MONTH('Loan Inputs'!$B$8)+A1705,DAY('Loan Inputs'!$B$8)),'Loan Inputs'!$B$8+A1705*IF('Loan Inputs'!$B$14=26,14,7)))</f>
        <v/>
      </c>
      <c r="C1705" s="2" t="str">
        <f t="shared" si="80"/>
        <v/>
      </c>
      <c r="D1705" s="2" t="str">
        <f>IF(A1705="","",MIN('Loan Inputs'!$B$17,C1705+E1705)+H1705)</f>
        <v/>
      </c>
      <c r="E1705" s="2" t="str">
        <f>IF(A1705="","",C1705*'Loan Inputs'!$B$15)</f>
        <v/>
      </c>
      <c r="F1705" s="2" t="str">
        <f t="shared" si="78"/>
        <v/>
      </c>
      <c r="G1705" s="2" t="str">
        <f t="shared" si="79"/>
        <v/>
      </c>
      <c r="H1705" s="2" t="str">
        <f>IF(A1705="","",MIN('Loan Inputs'!$B$18,MAX(0,C1705+E1705-'Loan Inputs'!$B$17)))</f>
        <v/>
      </c>
    </row>
    <row r="1706" spans="1:8" ht="22" customHeight="1">
      <c r="A1706" s="1" t="str">
        <f>IF(AND('Loan Inputs'!$B$12,1700&lt;=IF('Loan Inputs'!$B$12,'Loan Inputs'!$B$7,0)*'Loan Inputs'!$B$14+5*'Loan Inputs'!$B$14,ISNUMBER(G1705),G1705&gt;0),1700,"")</f>
        <v/>
      </c>
      <c r="B1706" s="4" t="str">
        <f>IF(A1706="","",IF('Loan Inputs'!$B$14=12,DATE(YEAR('Loan Inputs'!$B$8),MONTH('Loan Inputs'!$B$8)+A1706,DAY('Loan Inputs'!$B$8)),'Loan Inputs'!$B$8+A1706*IF('Loan Inputs'!$B$14=26,14,7)))</f>
        <v/>
      </c>
      <c r="C1706" s="2" t="str">
        <f t="shared" si="80"/>
        <v/>
      </c>
      <c r="D1706" s="2" t="str">
        <f>IF(A1706="","",MIN('Loan Inputs'!$B$17,C1706+E1706)+H1706)</f>
        <v/>
      </c>
      <c r="E1706" s="2" t="str">
        <f>IF(A1706="","",C1706*'Loan Inputs'!$B$15)</f>
        <v/>
      </c>
      <c r="F1706" s="2" t="str">
        <f t="shared" si="78"/>
        <v/>
      </c>
      <c r="G1706" s="2" t="str">
        <f t="shared" si="79"/>
        <v/>
      </c>
      <c r="H1706" s="2" t="str">
        <f>IF(A1706="","",MIN('Loan Inputs'!$B$18,MAX(0,C1706+E1706-'Loan Inputs'!$B$17)))</f>
        <v/>
      </c>
    </row>
    <row r="1707" spans="1:8" ht="22" customHeight="1">
      <c r="A1707" s="1" t="str">
        <f>IF(AND('Loan Inputs'!$B$12,1701&lt;=IF('Loan Inputs'!$B$12,'Loan Inputs'!$B$7,0)*'Loan Inputs'!$B$14+5*'Loan Inputs'!$B$14,ISNUMBER(G1706),G1706&gt;0),1701,"")</f>
        <v/>
      </c>
      <c r="B1707" s="4" t="str">
        <f>IF(A1707="","",IF('Loan Inputs'!$B$14=12,DATE(YEAR('Loan Inputs'!$B$8),MONTH('Loan Inputs'!$B$8)+A1707,DAY('Loan Inputs'!$B$8)),'Loan Inputs'!$B$8+A1707*IF('Loan Inputs'!$B$14=26,14,7)))</f>
        <v/>
      </c>
      <c r="C1707" s="2" t="str">
        <f t="shared" si="80"/>
        <v/>
      </c>
      <c r="D1707" s="2" t="str">
        <f>IF(A1707="","",MIN('Loan Inputs'!$B$17,C1707+E1707)+H1707)</f>
        <v/>
      </c>
      <c r="E1707" s="2" t="str">
        <f>IF(A1707="","",C1707*'Loan Inputs'!$B$15)</f>
        <v/>
      </c>
      <c r="F1707" s="2" t="str">
        <f t="shared" si="78"/>
        <v/>
      </c>
      <c r="G1707" s="2" t="str">
        <f t="shared" si="79"/>
        <v/>
      </c>
      <c r="H1707" s="2" t="str">
        <f>IF(A1707="","",MIN('Loan Inputs'!$B$18,MAX(0,C1707+E1707-'Loan Inputs'!$B$17)))</f>
        <v/>
      </c>
    </row>
    <row r="1708" spans="1:8" ht="22" customHeight="1">
      <c r="A1708" s="1" t="str">
        <f>IF(AND('Loan Inputs'!$B$12,1702&lt;=IF('Loan Inputs'!$B$12,'Loan Inputs'!$B$7,0)*'Loan Inputs'!$B$14+5*'Loan Inputs'!$B$14,ISNUMBER(G1707),G1707&gt;0),1702,"")</f>
        <v/>
      </c>
      <c r="B1708" s="4" t="str">
        <f>IF(A1708="","",IF('Loan Inputs'!$B$14=12,DATE(YEAR('Loan Inputs'!$B$8),MONTH('Loan Inputs'!$B$8)+A1708,DAY('Loan Inputs'!$B$8)),'Loan Inputs'!$B$8+A1708*IF('Loan Inputs'!$B$14=26,14,7)))</f>
        <v/>
      </c>
      <c r="C1708" s="2" t="str">
        <f t="shared" si="80"/>
        <v/>
      </c>
      <c r="D1708" s="2" t="str">
        <f>IF(A1708="","",MIN('Loan Inputs'!$B$17,C1708+E1708)+H1708)</f>
        <v/>
      </c>
      <c r="E1708" s="2" t="str">
        <f>IF(A1708="","",C1708*'Loan Inputs'!$B$15)</f>
        <v/>
      </c>
      <c r="F1708" s="2" t="str">
        <f t="shared" si="78"/>
        <v/>
      </c>
      <c r="G1708" s="2" t="str">
        <f t="shared" si="79"/>
        <v/>
      </c>
      <c r="H1708" s="2" t="str">
        <f>IF(A1708="","",MIN('Loan Inputs'!$B$18,MAX(0,C1708+E1708-'Loan Inputs'!$B$17)))</f>
        <v/>
      </c>
    </row>
    <row r="1709" spans="1:8" ht="22" customHeight="1">
      <c r="A1709" s="1" t="str">
        <f>IF(AND('Loan Inputs'!$B$12,1703&lt;=IF('Loan Inputs'!$B$12,'Loan Inputs'!$B$7,0)*'Loan Inputs'!$B$14+5*'Loan Inputs'!$B$14,ISNUMBER(G1708),G1708&gt;0),1703,"")</f>
        <v/>
      </c>
      <c r="B1709" s="4" t="str">
        <f>IF(A1709="","",IF('Loan Inputs'!$B$14=12,DATE(YEAR('Loan Inputs'!$B$8),MONTH('Loan Inputs'!$B$8)+A1709,DAY('Loan Inputs'!$B$8)),'Loan Inputs'!$B$8+A1709*IF('Loan Inputs'!$B$14=26,14,7)))</f>
        <v/>
      </c>
      <c r="C1709" s="2" t="str">
        <f t="shared" si="80"/>
        <v/>
      </c>
      <c r="D1709" s="2" t="str">
        <f>IF(A1709="","",MIN('Loan Inputs'!$B$17,C1709+E1709)+H1709)</f>
        <v/>
      </c>
      <c r="E1709" s="2" t="str">
        <f>IF(A1709="","",C1709*'Loan Inputs'!$B$15)</f>
        <v/>
      </c>
      <c r="F1709" s="2" t="str">
        <f t="shared" si="78"/>
        <v/>
      </c>
      <c r="G1709" s="2" t="str">
        <f t="shared" si="79"/>
        <v/>
      </c>
      <c r="H1709" s="2" t="str">
        <f>IF(A1709="","",MIN('Loan Inputs'!$B$18,MAX(0,C1709+E1709-'Loan Inputs'!$B$17)))</f>
        <v/>
      </c>
    </row>
    <row r="1710" spans="1:8" ht="22" customHeight="1">
      <c r="A1710" s="1" t="str">
        <f>IF(AND('Loan Inputs'!$B$12,1704&lt;=IF('Loan Inputs'!$B$12,'Loan Inputs'!$B$7,0)*'Loan Inputs'!$B$14+5*'Loan Inputs'!$B$14,ISNUMBER(G1709),G1709&gt;0),1704,"")</f>
        <v/>
      </c>
      <c r="B1710" s="4" t="str">
        <f>IF(A1710="","",IF('Loan Inputs'!$B$14=12,DATE(YEAR('Loan Inputs'!$B$8),MONTH('Loan Inputs'!$B$8)+A1710,DAY('Loan Inputs'!$B$8)),'Loan Inputs'!$B$8+A1710*IF('Loan Inputs'!$B$14=26,14,7)))</f>
        <v/>
      </c>
      <c r="C1710" s="2" t="str">
        <f t="shared" si="80"/>
        <v/>
      </c>
      <c r="D1710" s="2" t="str">
        <f>IF(A1710="","",MIN('Loan Inputs'!$B$17,C1710+E1710)+H1710)</f>
        <v/>
      </c>
      <c r="E1710" s="2" t="str">
        <f>IF(A1710="","",C1710*'Loan Inputs'!$B$15)</f>
        <v/>
      </c>
      <c r="F1710" s="2" t="str">
        <f t="shared" si="78"/>
        <v/>
      </c>
      <c r="G1710" s="2" t="str">
        <f t="shared" si="79"/>
        <v/>
      </c>
      <c r="H1710" s="2" t="str">
        <f>IF(A1710="","",MIN('Loan Inputs'!$B$18,MAX(0,C1710+E1710-'Loan Inputs'!$B$17)))</f>
        <v/>
      </c>
    </row>
    <row r="1711" spans="1:8" ht="22" customHeight="1">
      <c r="A1711" s="1" t="str">
        <f>IF(AND('Loan Inputs'!$B$12,1705&lt;=IF('Loan Inputs'!$B$12,'Loan Inputs'!$B$7,0)*'Loan Inputs'!$B$14+5*'Loan Inputs'!$B$14,ISNUMBER(G1710),G1710&gt;0),1705,"")</f>
        <v/>
      </c>
      <c r="B1711" s="4" t="str">
        <f>IF(A1711="","",IF('Loan Inputs'!$B$14=12,DATE(YEAR('Loan Inputs'!$B$8),MONTH('Loan Inputs'!$B$8)+A1711,DAY('Loan Inputs'!$B$8)),'Loan Inputs'!$B$8+A1711*IF('Loan Inputs'!$B$14=26,14,7)))</f>
        <v/>
      </c>
      <c r="C1711" s="2" t="str">
        <f t="shared" si="80"/>
        <v/>
      </c>
      <c r="D1711" s="2" t="str">
        <f>IF(A1711="","",MIN('Loan Inputs'!$B$17,C1711+E1711)+H1711)</f>
        <v/>
      </c>
      <c r="E1711" s="2" t="str">
        <f>IF(A1711="","",C1711*'Loan Inputs'!$B$15)</f>
        <v/>
      </c>
      <c r="F1711" s="2" t="str">
        <f t="shared" si="78"/>
        <v/>
      </c>
      <c r="G1711" s="2" t="str">
        <f t="shared" si="79"/>
        <v/>
      </c>
      <c r="H1711" s="2" t="str">
        <f>IF(A1711="","",MIN('Loan Inputs'!$B$18,MAX(0,C1711+E1711-'Loan Inputs'!$B$17)))</f>
        <v/>
      </c>
    </row>
    <row r="1712" spans="1:8" ht="22" customHeight="1">
      <c r="A1712" s="1" t="str">
        <f>IF(AND('Loan Inputs'!$B$12,1706&lt;=IF('Loan Inputs'!$B$12,'Loan Inputs'!$B$7,0)*'Loan Inputs'!$B$14+5*'Loan Inputs'!$B$14,ISNUMBER(G1711),G1711&gt;0),1706,"")</f>
        <v/>
      </c>
      <c r="B1712" s="4" t="str">
        <f>IF(A1712="","",IF('Loan Inputs'!$B$14=12,DATE(YEAR('Loan Inputs'!$B$8),MONTH('Loan Inputs'!$B$8)+A1712,DAY('Loan Inputs'!$B$8)),'Loan Inputs'!$B$8+A1712*IF('Loan Inputs'!$B$14=26,14,7)))</f>
        <v/>
      </c>
      <c r="C1712" s="2" t="str">
        <f t="shared" si="80"/>
        <v/>
      </c>
      <c r="D1712" s="2" t="str">
        <f>IF(A1712="","",MIN('Loan Inputs'!$B$17,C1712+E1712)+H1712)</f>
        <v/>
      </c>
      <c r="E1712" s="2" t="str">
        <f>IF(A1712="","",C1712*'Loan Inputs'!$B$15)</f>
        <v/>
      </c>
      <c r="F1712" s="2" t="str">
        <f t="shared" si="78"/>
        <v/>
      </c>
      <c r="G1712" s="2" t="str">
        <f t="shared" si="79"/>
        <v/>
      </c>
      <c r="H1712" s="2" t="str">
        <f>IF(A1712="","",MIN('Loan Inputs'!$B$18,MAX(0,C1712+E1712-'Loan Inputs'!$B$17)))</f>
        <v/>
      </c>
    </row>
    <row r="1713" spans="1:8" ht="22" customHeight="1">
      <c r="A1713" s="1" t="str">
        <f>IF(AND('Loan Inputs'!$B$12,1707&lt;=IF('Loan Inputs'!$B$12,'Loan Inputs'!$B$7,0)*'Loan Inputs'!$B$14+5*'Loan Inputs'!$B$14,ISNUMBER(G1712),G1712&gt;0),1707,"")</f>
        <v/>
      </c>
      <c r="B1713" s="4" t="str">
        <f>IF(A1713="","",IF('Loan Inputs'!$B$14=12,DATE(YEAR('Loan Inputs'!$B$8),MONTH('Loan Inputs'!$B$8)+A1713,DAY('Loan Inputs'!$B$8)),'Loan Inputs'!$B$8+A1713*IF('Loan Inputs'!$B$14=26,14,7)))</f>
        <v/>
      </c>
      <c r="C1713" s="2" t="str">
        <f t="shared" si="80"/>
        <v/>
      </c>
      <c r="D1713" s="2" t="str">
        <f>IF(A1713="","",MIN('Loan Inputs'!$B$17,C1713+E1713)+H1713)</f>
        <v/>
      </c>
      <c r="E1713" s="2" t="str">
        <f>IF(A1713="","",C1713*'Loan Inputs'!$B$15)</f>
        <v/>
      </c>
      <c r="F1713" s="2" t="str">
        <f t="shared" si="78"/>
        <v/>
      </c>
      <c r="G1713" s="2" t="str">
        <f t="shared" si="79"/>
        <v/>
      </c>
      <c r="H1713" s="2" t="str">
        <f>IF(A1713="","",MIN('Loan Inputs'!$B$18,MAX(0,C1713+E1713-'Loan Inputs'!$B$17)))</f>
        <v/>
      </c>
    </row>
    <row r="1714" spans="1:8" ht="22" customHeight="1">
      <c r="A1714" s="1" t="str">
        <f>IF(AND('Loan Inputs'!$B$12,1708&lt;=IF('Loan Inputs'!$B$12,'Loan Inputs'!$B$7,0)*'Loan Inputs'!$B$14+5*'Loan Inputs'!$B$14,ISNUMBER(G1713),G1713&gt;0),1708,"")</f>
        <v/>
      </c>
      <c r="B1714" s="4" t="str">
        <f>IF(A1714="","",IF('Loan Inputs'!$B$14=12,DATE(YEAR('Loan Inputs'!$B$8),MONTH('Loan Inputs'!$B$8)+A1714,DAY('Loan Inputs'!$B$8)),'Loan Inputs'!$B$8+A1714*IF('Loan Inputs'!$B$14=26,14,7)))</f>
        <v/>
      </c>
      <c r="C1714" s="2" t="str">
        <f t="shared" si="80"/>
        <v/>
      </c>
      <c r="D1714" s="2" t="str">
        <f>IF(A1714="","",MIN('Loan Inputs'!$B$17,C1714+E1714)+H1714)</f>
        <v/>
      </c>
      <c r="E1714" s="2" t="str">
        <f>IF(A1714="","",C1714*'Loan Inputs'!$B$15)</f>
        <v/>
      </c>
      <c r="F1714" s="2" t="str">
        <f t="shared" si="78"/>
        <v/>
      </c>
      <c r="G1714" s="2" t="str">
        <f t="shared" si="79"/>
        <v/>
      </c>
      <c r="H1714" s="2" t="str">
        <f>IF(A1714="","",MIN('Loan Inputs'!$B$18,MAX(0,C1714+E1714-'Loan Inputs'!$B$17)))</f>
        <v/>
      </c>
    </row>
    <row r="1715" spans="1:8" ht="22" customHeight="1">
      <c r="A1715" s="1" t="str">
        <f>IF(AND('Loan Inputs'!$B$12,1709&lt;=IF('Loan Inputs'!$B$12,'Loan Inputs'!$B$7,0)*'Loan Inputs'!$B$14+5*'Loan Inputs'!$B$14,ISNUMBER(G1714),G1714&gt;0),1709,"")</f>
        <v/>
      </c>
      <c r="B1715" s="4" t="str">
        <f>IF(A1715="","",IF('Loan Inputs'!$B$14=12,DATE(YEAR('Loan Inputs'!$B$8),MONTH('Loan Inputs'!$B$8)+A1715,DAY('Loan Inputs'!$B$8)),'Loan Inputs'!$B$8+A1715*IF('Loan Inputs'!$B$14=26,14,7)))</f>
        <v/>
      </c>
      <c r="C1715" s="2" t="str">
        <f t="shared" si="80"/>
        <v/>
      </c>
      <c r="D1715" s="2" t="str">
        <f>IF(A1715="","",MIN('Loan Inputs'!$B$17,C1715+E1715)+H1715)</f>
        <v/>
      </c>
      <c r="E1715" s="2" t="str">
        <f>IF(A1715="","",C1715*'Loan Inputs'!$B$15)</f>
        <v/>
      </c>
      <c r="F1715" s="2" t="str">
        <f t="shared" si="78"/>
        <v/>
      </c>
      <c r="G1715" s="2" t="str">
        <f t="shared" si="79"/>
        <v/>
      </c>
      <c r="H1715" s="2" t="str">
        <f>IF(A1715="","",MIN('Loan Inputs'!$B$18,MAX(0,C1715+E1715-'Loan Inputs'!$B$17)))</f>
        <v/>
      </c>
    </row>
    <row r="1716" spans="1:8" ht="22" customHeight="1">
      <c r="A1716" s="1" t="str">
        <f>IF(AND('Loan Inputs'!$B$12,1710&lt;=IF('Loan Inputs'!$B$12,'Loan Inputs'!$B$7,0)*'Loan Inputs'!$B$14+5*'Loan Inputs'!$B$14,ISNUMBER(G1715),G1715&gt;0),1710,"")</f>
        <v/>
      </c>
      <c r="B1716" s="4" t="str">
        <f>IF(A1716="","",IF('Loan Inputs'!$B$14=12,DATE(YEAR('Loan Inputs'!$B$8),MONTH('Loan Inputs'!$B$8)+A1716,DAY('Loan Inputs'!$B$8)),'Loan Inputs'!$B$8+A1716*IF('Loan Inputs'!$B$14=26,14,7)))</f>
        <v/>
      </c>
      <c r="C1716" s="2" t="str">
        <f t="shared" si="80"/>
        <v/>
      </c>
      <c r="D1716" s="2" t="str">
        <f>IF(A1716="","",MIN('Loan Inputs'!$B$17,C1716+E1716)+H1716)</f>
        <v/>
      </c>
      <c r="E1716" s="2" t="str">
        <f>IF(A1716="","",C1716*'Loan Inputs'!$B$15)</f>
        <v/>
      </c>
      <c r="F1716" s="2" t="str">
        <f t="shared" si="78"/>
        <v/>
      </c>
      <c r="G1716" s="2" t="str">
        <f t="shared" si="79"/>
        <v/>
      </c>
      <c r="H1716" s="2" t="str">
        <f>IF(A1716="","",MIN('Loan Inputs'!$B$18,MAX(0,C1716+E1716-'Loan Inputs'!$B$17)))</f>
        <v/>
      </c>
    </row>
    <row r="1717" spans="1:8" ht="22" customHeight="1">
      <c r="A1717" s="1" t="str">
        <f>IF(AND('Loan Inputs'!$B$12,1711&lt;=IF('Loan Inputs'!$B$12,'Loan Inputs'!$B$7,0)*'Loan Inputs'!$B$14+5*'Loan Inputs'!$B$14,ISNUMBER(G1716),G1716&gt;0),1711,"")</f>
        <v/>
      </c>
      <c r="B1717" s="4" t="str">
        <f>IF(A1717="","",IF('Loan Inputs'!$B$14=12,DATE(YEAR('Loan Inputs'!$B$8),MONTH('Loan Inputs'!$B$8)+A1717,DAY('Loan Inputs'!$B$8)),'Loan Inputs'!$B$8+A1717*IF('Loan Inputs'!$B$14=26,14,7)))</f>
        <v/>
      </c>
      <c r="C1717" s="2" t="str">
        <f t="shared" si="80"/>
        <v/>
      </c>
      <c r="D1717" s="2" t="str">
        <f>IF(A1717="","",MIN('Loan Inputs'!$B$17,C1717+E1717)+H1717)</f>
        <v/>
      </c>
      <c r="E1717" s="2" t="str">
        <f>IF(A1717="","",C1717*'Loan Inputs'!$B$15)</f>
        <v/>
      </c>
      <c r="F1717" s="2" t="str">
        <f t="shared" si="78"/>
        <v/>
      </c>
      <c r="G1717" s="2" t="str">
        <f t="shared" si="79"/>
        <v/>
      </c>
      <c r="H1717" s="2" t="str">
        <f>IF(A1717="","",MIN('Loan Inputs'!$B$18,MAX(0,C1717+E1717-'Loan Inputs'!$B$17)))</f>
        <v/>
      </c>
    </row>
    <row r="1718" spans="1:8" ht="22" customHeight="1">
      <c r="A1718" s="1" t="str">
        <f>IF(AND('Loan Inputs'!$B$12,1712&lt;=IF('Loan Inputs'!$B$12,'Loan Inputs'!$B$7,0)*'Loan Inputs'!$B$14+5*'Loan Inputs'!$B$14,ISNUMBER(G1717),G1717&gt;0),1712,"")</f>
        <v/>
      </c>
      <c r="B1718" s="4" t="str">
        <f>IF(A1718="","",IF('Loan Inputs'!$B$14=12,DATE(YEAR('Loan Inputs'!$B$8),MONTH('Loan Inputs'!$B$8)+A1718,DAY('Loan Inputs'!$B$8)),'Loan Inputs'!$B$8+A1718*IF('Loan Inputs'!$B$14=26,14,7)))</f>
        <v/>
      </c>
      <c r="C1718" s="2" t="str">
        <f t="shared" si="80"/>
        <v/>
      </c>
      <c r="D1718" s="2" t="str">
        <f>IF(A1718="","",MIN('Loan Inputs'!$B$17,C1718+E1718)+H1718)</f>
        <v/>
      </c>
      <c r="E1718" s="2" t="str">
        <f>IF(A1718="","",C1718*'Loan Inputs'!$B$15)</f>
        <v/>
      </c>
      <c r="F1718" s="2" t="str">
        <f t="shared" si="78"/>
        <v/>
      </c>
      <c r="G1718" s="2" t="str">
        <f t="shared" si="79"/>
        <v/>
      </c>
      <c r="H1718" s="2" t="str">
        <f>IF(A1718="","",MIN('Loan Inputs'!$B$18,MAX(0,C1718+E1718-'Loan Inputs'!$B$17)))</f>
        <v/>
      </c>
    </row>
    <row r="1719" spans="1:8" ht="22" customHeight="1">
      <c r="A1719" s="1" t="str">
        <f>IF(AND('Loan Inputs'!$B$12,1713&lt;=IF('Loan Inputs'!$B$12,'Loan Inputs'!$B$7,0)*'Loan Inputs'!$B$14+5*'Loan Inputs'!$B$14,ISNUMBER(G1718),G1718&gt;0),1713,"")</f>
        <v/>
      </c>
      <c r="B1719" s="4" t="str">
        <f>IF(A1719="","",IF('Loan Inputs'!$B$14=12,DATE(YEAR('Loan Inputs'!$B$8),MONTH('Loan Inputs'!$B$8)+A1719,DAY('Loan Inputs'!$B$8)),'Loan Inputs'!$B$8+A1719*IF('Loan Inputs'!$B$14=26,14,7)))</f>
        <v/>
      </c>
      <c r="C1719" s="2" t="str">
        <f t="shared" si="80"/>
        <v/>
      </c>
      <c r="D1719" s="2" t="str">
        <f>IF(A1719="","",MIN('Loan Inputs'!$B$17,C1719+E1719)+H1719)</f>
        <v/>
      </c>
      <c r="E1719" s="2" t="str">
        <f>IF(A1719="","",C1719*'Loan Inputs'!$B$15)</f>
        <v/>
      </c>
      <c r="F1719" s="2" t="str">
        <f t="shared" si="78"/>
        <v/>
      </c>
      <c r="G1719" s="2" t="str">
        <f t="shared" si="79"/>
        <v/>
      </c>
      <c r="H1719" s="2" t="str">
        <f>IF(A1719="","",MIN('Loan Inputs'!$B$18,MAX(0,C1719+E1719-'Loan Inputs'!$B$17)))</f>
        <v/>
      </c>
    </row>
    <row r="1720" spans="1:8" ht="22" customHeight="1">
      <c r="A1720" s="1" t="str">
        <f>IF(AND('Loan Inputs'!$B$12,1714&lt;=IF('Loan Inputs'!$B$12,'Loan Inputs'!$B$7,0)*'Loan Inputs'!$B$14+5*'Loan Inputs'!$B$14,ISNUMBER(G1719),G1719&gt;0),1714,"")</f>
        <v/>
      </c>
      <c r="B1720" s="4" t="str">
        <f>IF(A1720="","",IF('Loan Inputs'!$B$14=12,DATE(YEAR('Loan Inputs'!$B$8),MONTH('Loan Inputs'!$B$8)+A1720,DAY('Loan Inputs'!$B$8)),'Loan Inputs'!$B$8+A1720*IF('Loan Inputs'!$B$14=26,14,7)))</f>
        <v/>
      </c>
      <c r="C1720" s="2" t="str">
        <f t="shared" si="80"/>
        <v/>
      </c>
      <c r="D1720" s="2" t="str">
        <f>IF(A1720="","",MIN('Loan Inputs'!$B$17,C1720+E1720)+H1720)</f>
        <v/>
      </c>
      <c r="E1720" s="2" t="str">
        <f>IF(A1720="","",C1720*'Loan Inputs'!$B$15)</f>
        <v/>
      </c>
      <c r="F1720" s="2" t="str">
        <f t="shared" si="78"/>
        <v/>
      </c>
      <c r="G1720" s="2" t="str">
        <f t="shared" si="79"/>
        <v/>
      </c>
      <c r="H1720" s="2" t="str">
        <f>IF(A1720="","",MIN('Loan Inputs'!$B$18,MAX(0,C1720+E1720-'Loan Inputs'!$B$17)))</f>
        <v/>
      </c>
    </row>
    <row r="1721" spans="1:8" ht="22" customHeight="1">
      <c r="A1721" s="1" t="str">
        <f>IF(AND('Loan Inputs'!$B$12,1715&lt;=IF('Loan Inputs'!$B$12,'Loan Inputs'!$B$7,0)*'Loan Inputs'!$B$14+5*'Loan Inputs'!$B$14,ISNUMBER(G1720),G1720&gt;0),1715,"")</f>
        <v/>
      </c>
      <c r="B1721" s="4" t="str">
        <f>IF(A1721="","",IF('Loan Inputs'!$B$14=12,DATE(YEAR('Loan Inputs'!$B$8),MONTH('Loan Inputs'!$B$8)+A1721,DAY('Loan Inputs'!$B$8)),'Loan Inputs'!$B$8+A1721*IF('Loan Inputs'!$B$14=26,14,7)))</f>
        <v/>
      </c>
      <c r="C1721" s="2" t="str">
        <f t="shared" si="80"/>
        <v/>
      </c>
      <c r="D1721" s="2" t="str">
        <f>IF(A1721="","",MIN('Loan Inputs'!$B$17,C1721+E1721)+H1721)</f>
        <v/>
      </c>
      <c r="E1721" s="2" t="str">
        <f>IF(A1721="","",C1721*'Loan Inputs'!$B$15)</f>
        <v/>
      </c>
      <c r="F1721" s="2" t="str">
        <f t="shared" si="78"/>
        <v/>
      </c>
      <c r="G1721" s="2" t="str">
        <f t="shared" si="79"/>
        <v/>
      </c>
      <c r="H1721" s="2" t="str">
        <f>IF(A1721="","",MIN('Loan Inputs'!$B$18,MAX(0,C1721+E1721-'Loan Inputs'!$B$17)))</f>
        <v/>
      </c>
    </row>
    <row r="1722" spans="1:8" ht="22" customHeight="1">
      <c r="A1722" s="1" t="str">
        <f>IF(AND('Loan Inputs'!$B$12,1716&lt;=IF('Loan Inputs'!$B$12,'Loan Inputs'!$B$7,0)*'Loan Inputs'!$B$14+5*'Loan Inputs'!$B$14,ISNUMBER(G1721),G1721&gt;0),1716,"")</f>
        <v/>
      </c>
      <c r="B1722" s="4" t="str">
        <f>IF(A1722="","",IF('Loan Inputs'!$B$14=12,DATE(YEAR('Loan Inputs'!$B$8),MONTH('Loan Inputs'!$B$8)+A1722,DAY('Loan Inputs'!$B$8)),'Loan Inputs'!$B$8+A1722*IF('Loan Inputs'!$B$14=26,14,7)))</f>
        <v/>
      </c>
      <c r="C1722" s="2" t="str">
        <f t="shared" si="80"/>
        <v/>
      </c>
      <c r="D1722" s="2" t="str">
        <f>IF(A1722="","",MIN('Loan Inputs'!$B$17,C1722+E1722)+H1722)</f>
        <v/>
      </c>
      <c r="E1722" s="2" t="str">
        <f>IF(A1722="","",C1722*'Loan Inputs'!$B$15)</f>
        <v/>
      </c>
      <c r="F1722" s="2" t="str">
        <f t="shared" si="78"/>
        <v/>
      </c>
      <c r="G1722" s="2" t="str">
        <f t="shared" si="79"/>
        <v/>
      </c>
      <c r="H1722" s="2" t="str">
        <f>IF(A1722="","",MIN('Loan Inputs'!$B$18,MAX(0,C1722+E1722-'Loan Inputs'!$B$17)))</f>
        <v/>
      </c>
    </row>
    <row r="1723" spans="1:8" ht="22" customHeight="1">
      <c r="A1723" s="1" t="str">
        <f>IF(AND('Loan Inputs'!$B$12,1717&lt;=IF('Loan Inputs'!$B$12,'Loan Inputs'!$B$7,0)*'Loan Inputs'!$B$14+5*'Loan Inputs'!$B$14,ISNUMBER(G1722),G1722&gt;0),1717,"")</f>
        <v/>
      </c>
      <c r="B1723" s="4" t="str">
        <f>IF(A1723="","",IF('Loan Inputs'!$B$14=12,DATE(YEAR('Loan Inputs'!$B$8),MONTH('Loan Inputs'!$B$8)+A1723,DAY('Loan Inputs'!$B$8)),'Loan Inputs'!$B$8+A1723*IF('Loan Inputs'!$B$14=26,14,7)))</f>
        <v/>
      </c>
      <c r="C1723" s="2" t="str">
        <f t="shared" si="80"/>
        <v/>
      </c>
      <c r="D1723" s="2" t="str">
        <f>IF(A1723="","",MIN('Loan Inputs'!$B$17,C1723+E1723)+H1723)</f>
        <v/>
      </c>
      <c r="E1723" s="2" t="str">
        <f>IF(A1723="","",C1723*'Loan Inputs'!$B$15)</f>
        <v/>
      </c>
      <c r="F1723" s="2" t="str">
        <f t="shared" si="78"/>
        <v/>
      </c>
      <c r="G1723" s="2" t="str">
        <f t="shared" si="79"/>
        <v/>
      </c>
      <c r="H1723" s="2" t="str">
        <f>IF(A1723="","",MIN('Loan Inputs'!$B$18,MAX(0,C1723+E1723-'Loan Inputs'!$B$17)))</f>
        <v/>
      </c>
    </row>
    <row r="1724" spans="1:8" ht="22" customHeight="1">
      <c r="A1724" s="1" t="str">
        <f>IF(AND('Loan Inputs'!$B$12,1718&lt;=IF('Loan Inputs'!$B$12,'Loan Inputs'!$B$7,0)*'Loan Inputs'!$B$14+5*'Loan Inputs'!$B$14,ISNUMBER(G1723),G1723&gt;0),1718,"")</f>
        <v/>
      </c>
      <c r="B1724" s="4" t="str">
        <f>IF(A1724="","",IF('Loan Inputs'!$B$14=12,DATE(YEAR('Loan Inputs'!$B$8),MONTH('Loan Inputs'!$B$8)+A1724,DAY('Loan Inputs'!$B$8)),'Loan Inputs'!$B$8+A1724*IF('Loan Inputs'!$B$14=26,14,7)))</f>
        <v/>
      </c>
      <c r="C1724" s="2" t="str">
        <f t="shared" si="80"/>
        <v/>
      </c>
      <c r="D1724" s="2" t="str">
        <f>IF(A1724="","",MIN('Loan Inputs'!$B$17,C1724+E1724)+H1724)</f>
        <v/>
      </c>
      <c r="E1724" s="2" t="str">
        <f>IF(A1724="","",C1724*'Loan Inputs'!$B$15)</f>
        <v/>
      </c>
      <c r="F1724" s="2" t="str">
        <f t="shared" si="78"/>
        <v/>
      </c>
      <c r="G1724" s="2" t="str">
        <f t="shared" si="79"/>
        <v/>
      </c>
      <c r="H1724" s="2" t="str">
        <f>IF(A1724="","",MIN('Loan Inputs'!$B$18,MAX(0,C1724+E1724-'Loan Inputs'!$B$17)))</f>
        <v/>
      </c>
    </row>
    <row r="1725" spans="1:8" ht="22" customHeight="1">
      <c r="A1725" s="1" t="str">
        <f>IF(AND('Loan Inputs'!$B$12,1719&lt;=IF('Loan Inputs'!$B$12,'Loan Inputs'!$B$7,0)*'Loan Inputs'!$B$14+5*'Loan Inputs'!$B$14,ISNUMBER(G1724),G1724&gt;0),1719,"")</f>
        <v/>
      </c>
      <c r="B1725" s="4" t="str">
        <f>IF(A1725="","",IF('Loan Inputs'!$B$14=12,DATE(YEAR('Loan Inputs'!$B$8),MONTH('Loan Inputs'!$B$8)+A1725,DAY('Loan Inputs'!$B$8)),'Loan Inputs'!$B$8+A1725*IF('Loan Inputs'!$B$14=26,14,7)))</f>
        <v/>
      </c>
      <c r="C1725" s="2" t="str">
        <f t="shared" si="80"/>
        <v/>
      </c>
      <c r="D1725" s="2" t="str">
        <f>IF(A1725="","",MIN('Loan Inputs'!$B$17,C1725+E1725)+H1725)</f>
        <v/>
      </c>
      <c r="E1725" s="2" t="str">
        <f>IF(A1725="","",C1725*'Loan Inputs'!$B$15)</f>
        <v/>
      </c>
      <c r="F1725" s="2" t="str">
        <f t="shared" si="78"/>
        <v/>
      </c>
      <c r="G1725" s="2" t="str">
        <f t="shared" si="79"/>
        <v/>
      </c>
      <c r="H1725" s="2" t="str">
        <f>IF(A1725="","",MIN('Loan Inputs'!$B$18,MAX(0,C1725+E1725-'Loan Inputs'!$B$17)))</f>
        <v/>
      </c>
    </row>
    <row r="1726" spans="1:8" ht="22" customHeight="1">
      <c r="A1726" s="1" t="str">
        <f>IF(AND('Loan Inputs'!$B$12,1720&lt;=IF('Loan Inputs'!$B$12,'Loan Inputs'!$B$7,0)*'Loan Inputs'!$B$14+5*'Loan Inputs'!$B$14,ISNUMBER(G1725),G1725&gt;0),1720,"")</f>
        <v/>
      </c>
      <c r="B1726" s="4" t="str">
        <f>IF(A1726="","",IF('Loan Inputs'!$B$14=12,DATE(YEAR('Loan Inputs'!$B$8),MONTH('Loan Inputs'!$B$8)+A1726,DAY('Loan Inputs'!$B$8)),'Loan Inputs'!$B$8+A1726*IF('Loan Inputs'!$B$14=26,14,7)))</f>
        <v/>
      </c>
      <c r="C1726" s="2" t="str">
        <f t="shared" si="80"/>
        <v/>
      </c>
      <c r="D1726" s="2" t="str">
        <f>IF(A1726="","",MIN('Loan Inputs'!$B$17,C1726+E1726)+H1726)</f>
        <v/>
      </c>
      <c r="E1726" s="2" t="str">
        <f>IF(A1726="","",C1726*'Loan Inputs'!$B$15)</f>
        <v/>
      </c>
      <c r="F1726" s="2" t="str">
        <f t="shared" si="78"/>
        <v/>
      </c>
      <c r="G1726" s="2" t="str">
        <f t="shared" si="79"/>
        <v/>
      </c>
      <c r="H1726" s="2" t="str">
        <f>IF(A1726="","",MIN('Loan Inputs'!$B$18,MAX(0,C1726+E1726-'Loan Inputs'!$B$17)))</f>
        <v/>
      </c>
    </row>
    <row r="1727" spans="1:8" ht="22" customHeight="1">
      <c r="A1727" s="1" t="str">
        <f>IF(AND('Loan Inputs'!$B$12,1721&lt;=IF('Loan Inputs'!$B$12,'Loan Inputs'!$B$7,0)*'Loan Inputs'!$B$14+5*'Loan Inputs'!$B$14,ISNUMBER(G1726),G1726&gt;0),1721,"")</f>
        <v/>
      </c>
      <c r="B1727" s="4" t="str">
        <f>IF(A1727="","",IF('Loan Inputs'!$B$14=12,DATE(YEAR('Loan Inputs'!$B$8),MONTH('Loan Inputs'!$B$8)+A1727,DAY('Loan Inputs'!$B$8)),'Loan Inputs'!$B$8+A1727*IF('Loan Inputs'!$B$14=26,14,7)))</f>
        <v/>
      </c>
      <c r="C1727" s="2" t="str">
        <f t="shared" si="80"/>
        <v/>
      </c>
      <c r="D1727" s="2" t="str">
        <f>IF(A1727="","",MIN('Loan Inputs'!$B$17,C1727+E1727)+H1727)</f>
        <v/>
      </c>
      <c r="E1727" s="2" t="str">
        <f>IF(A1727="","",C1727*'Loan Inputs'!$B$15)</f>
        <v/>
      </c>
      <c r="F1727" s="2" t="str">
        <f t="shared" si="78"/>
        <v/>
      </c>
      <c r="G1727" s="2" t="str">
        <f t="shared" si="79"/>
        <v/>
      </c>
      <c r="H1727" s="2" t="str">
        <f>IF(A1727="","",MIN('Loan Inputs'!$B$18,MAX(0,C1727+E1727-'Loan Inputs'!$B$17)))</f>
        <v/>
      </c>
    </row>
    <row r="1728" spans="1:8" ht="22" customHeight="1">
      <c r="A1728" s="1" t="str">
        <f>IF(AND('Loan Inputs'!$B$12,1722&lt;=IF('Loan Inputs'!$B$12,'Loan Inputs'!$B$7,0)*'Loan Inputs'!$B$14+5*'Loan Inputs'!$B$14,ISNUMBER(G1727),G1727&gt;0),1722,"")</f>
        <v/>
      </c>
      <c r="B1728" s="4" t="str">
        <f>IF(A1728="","",IF('Loan Inputs'!$B$14=12,DATE(YEAR('Loan Inputs'!$B$8),MONTH('Loan Inputs'!$B$8)+A1728,DAY('Loan Inputs'!$B$8)),'Loan Inputs'!$B$8+A1728*IF('Loan Inputs'!$B$14=26,14,7)))</f>
        <v/>
      </c>
      <c r="C1728" s="2" t="str">
        <f t="shared" si="80"/>
        <v/>
      </c>
      <c r="D1728" s="2" t="str">
        <f>IF(A1728="","",MIN('Loan Inputs'!$B$17,C1728+E1728)+H1728)</f>
        <v/>
      </c>
      <c r="E1728" s="2" t="str">
        <f>IF(A1728="","",C1728*'Loan Inputs'!$B$15)</f>
        <v/>
      </c>
      <c r="F1728" s="2" t="str">
        <f t="shared" si="78"/>
        <v/>
      </c>
      <c r="G1728" s="2" t="str">
        <f t="shared" si="79"/>
        <v/>
      </c>
      <c r="H1728" s="2" t="str">
        <f>IF(A1728="","",MIN('Loan Inputs'!$B$18,MAX(0,C1728+E1728-'Loan Inputs'!$B$17)))</f>
        <v/>
      </c>
    </row>
    <row r="1729" spans="1:8" ht="22" customHeight="1">
      <c r="A1729" s="1" t="str">
        <f>IF(AND('Loan Inputs'!$B$12,1723&lt;=IF('Loan Inputs'!$B$12,'Loan Inputs'!$B$7,0)*'Loan Inputs'!$B$14+5*'Loan Inputs'!$B$14,ISNUMBER(G1728),G1728&gt;0),1723,"")</f>
        <v/>
      </c>
      <c r="B1729" s="4" t="str">
        <f>IF(A1729="","",IF('Loan Inputs'!$B$14=12,DATE(YEAR('Loan Inputs'!$B$8),MONTH('Loan Inputs'!$B$8)+A1729,DAY('Loan Inputs'!$B$8)),'Loan Inputs'!$B$8+A1729*IF('Loan Inputs'!$B$14=26,14,7)))</f>
        <v/>
      </c>
      <c r="C1729" s="2" t="str">
        <f t="shared" si="80"/>
        <v/>
      </c>
      <c r="D1729" s="2" t="str">
        <f>IF(A1729="","",MIN('Loan Inputs'!$B$17,C1729+E1729)+H1729)</f>
        <v/>
      </c>
      <c r="E1729" s="2" t="str">
        <f>IF(A1729="","",C1729*'Loan Inputs'!$B$15)</f>
        <v/>
      </c>
      <c r="F1729" s="2" t="str">
        <f t="shared" si="78"/>
        <v/>
      </c>
      <c r="G1729" s="2" t="str">
        <f t="shared" si="79"/>
        <v/>
      </c>
      <c r="H1729" s="2" t="str">
        <f>IF(A1729="","",MIN('Loan Inputs'!$B$18,MAX(0,C1729+E1729-'Loan Inputs'!$B$17)))</f>
        <v/>
      </c>
    </row>
    <row r="1730" spans="1:8" ht="22" customHeight="1">
      <c r="A1730" s="1" t="str">
        <f>IF(AND('Loan Inputs'!$B$12,1724&lt;=IF('Loan Inputs'!$B$12,'Loan Inputs'!$B$7,0)*'Loan Inputs'!$B$14+5*'Loan Inputs'!$B$14,ISNUMBER(G1729),G1729&gt;0),1724,"")</f>
        <v/>
      </c>
      <c r="B1730" s="4" t="str">
        <f>IF(A1730="","",IF('Loan Inputs'!$B$14=12,DATE(YEAR('Loan Inputs'!$B$8),MONTH('Loan Inputs'!$B$8)+A1730,DAY('Loan Inputs'!$B$8)),'Loan Inputs'!$B$8+A1730*IF('Loan Inputs'!$B$14=26,14,7)))</f>
        <v/>
      </c>
      <c r="C1730" s="2" t="str">
        <f t="shared" si="80"/>
        <v/>
      </c>
      <c r="D1730" s="2" t="str">
        <f>IF(A1730="","",MIN('Loan Inputs'!$B$17,C1730+E1730)+H1730)</f>
        <v/>
      </c>
      <c r="E1730" s="2" t="str">
        <f>IF(A1730="","",C1730*'Loan Inputs'!$B$15)</f>
        <v/>
      </c>
      <c r="F1730" s="2" t="str">
        <f t="shared" si="78"/>
        <v/>
      </c>
      <c r="G1730" s="2" t="str">
        <f t="shared" si="79"/>
        <v/>
      </c>
      <c r="H1730" s="2" t="str">
        <f>IF(A1730="","",MIN('Loan Inputs'!$B$18,MAX(0,C1730+E1730-'Loan Inputs'!$B$17)))</f>
        <v/>
      </c>
    </row>
    <row r="1731" spans="1:8" ht="22" customHeight="1">
      <c r="A1731" s="1" t="str">
        <f>IF(AND('Loan Inputs'!$B$12,1725&lt;=IF('Loan Inputs'!$B$12,'Loan Inputs'!$B$7,0)*'Loan Inputs'!$B$14+5*'Loan Inputs'!$B$14,ISNUMBER(G1730),G1730&gt;0),1725,"")</f>
        <v/>
      </c>
      <c r="B1731" s="4" t="str">
        <f>IF(A1731="","",IF('Loan Inputs'!$B$14=12,DATE(YEAR('Loan Inputs'!$B$8),MONTH('Loan Inputs'!$B$8)+A1731,DAY('Loan Inputs'!$B$8)),'Loan Inputs'!$B$8+A1731*IF('Loan Inputs'!$B$14=26,14,7)))</f>
        <v/>
      </c>
      <c r="C1731" s="2" t="str">
        <f t="shared" si="80"/>
        <v/>
      </c>
      <c r="D1731" s="2" t="str">
        <f>IF(A1731="","",MIN('Loan Inputs'!$B$17,C1731+E1731)+H1731)</f>
        <v/>
      </c>
      <c r="E1731" s="2" t="str">
        <f>IF(A1731="","",C1731*'Loan Inputs'!$B$15)</f>
        <v/>
      </c>
      <c r="F1731" s="2" t="str">
        <f t="shared" si="78"/>
        <v/>
      </c>
      <c r="G1731" s="2" t="str">
        <f t="shared" si="79"/>
        <v/>
      </c>
      <c r="H1731" s="2" t="str">
        <f>IF(A1731="","",MIN('Loan Inputs'!$B$18,MAX(0,C1731+E1731-'Loan Inputs'!$B$17)))</f>
        <v/>
      </c>
    </row>
    <row r="1732" spans="1:8" ht="22" customHeight="1">
      <c r="A1732" s="1" t="str">
        <f>IF(AND('Loan Inputs'!$B$12,1726&lt;=IF('Loan Inputs'!$B$12,'Loan Inputs'!$B$7,0)*'Loan Inputs'!$B$14+5*'Loan Inputs'!$B$14,ISNUMBER(G1731),G1731&gt;0),1726,"")</f>
        <v/>
      </c>
      <c r="B1732" s="4" t="str">
        <f>IF(A1732="","",IF('Loan Inputs'!$B$14=12,DATE(YEAR('Loan Inputs'!$B$8),MONTH('Loan Inputs'!$B$8)+A1732,DAY('Loan Inputs'!$B$8)),'Loan Inputs'!$B$8+A1732*IF('Loan Inputs'!$B$14=26,14,7)))</f>
        <v/>
      </c>
      <c r="C1732" s="2" t="str">
        <f t="shared" si="80"/>
        <v/>
      </c>
      <c r="D1732" s="2" t="str">
        <f>IF(A1732="","",MIN('Loan Inputs'!$B$17,C1732+E1732)+H1732)</f>
        <v/>
      </c>
      <c r="E1732" s="2" t="str">
        <f>IF(A1732="","",C1732*'Loan Inputs'!$B$15)</f>
        <v/>
      </c>
      <c r="F1732" s="2" t="str">
        <f t="shared" si="78"/>
        <v/>
      </c>
      <c r="G1732" s="2" t="str">
        <f t="shared" si="79"/>
        <v/>
      </c>
      <c r="H1732" s="2" t="str">
        <f>IF(A1732="","",MIN('Loan Inputs'!$B$18,MAX(0,C1732+E1732-'Loan Inputs'!$B$17)))</f>
        <v/>
      </c>
    </row>
    <row r="1733" spans="1:8" ht="22" customHeight="1">
      <c r="A1733" s="1" t="str">
        <f>IF(AND('Loan Inputs'!$B$12,1727&lt;=IF('Loan Inputs'!$B$12,'Loan Inputs'!$B$7,0)*'Loan Inputs'!$B$14+5*'Loan Inputs'!$B$14,ISNUMBER(G1732),G1732&gt;0),1727,"")</f>
        <v/>
      </c>
      <c r="B1733" s="4" t="str">
        <f>IF(A1733="","",IF('Loan Inputs'!$B$14=12,DATE(YEAR('Loan Inputs'!$B$8),MONTH('Loan Inputs'!$B$8)+A1733,DAY('Loan Inputs'!$B$8)),'Loan Inputs'!$B$8+A1733*IF('Loan Inputs'!$B$14=26,14,7)))</f>
        <v/>
      </c>
      <c r="C1733" s="2" t="str">
        <f t="shared" si="80"/>
        <v/>
      </c>
      <c r="D1733" s="2" t="str">
        <f>IF(A1733="","",MIN('Loan Inputs'!$B$17,C1733+E1733)+H1733)</f>
        <v/>
      </c>
      <c r="E1733" s="2" t="str">
        <f>IF(A1733="","",C1733*'Loan Inputs'!$B$15)</f>
        <v/>
      </c>
      <c r="F1733" s="2" t="str">
        <f t="shared" si="78"/>
        <v/>
      </c>
      <c r="G1733" s="2" t="str">
        <f t="shared" si="79"/>
        <v/>
      </c>
      <c r="H1733" s="2" t="str">
        <f>IF(A1733="","",MIN('Loan Inputs'!$B$18,MAX(0,C1733+E1733-'Loan Inputs'!$B$17)))</f>
        <v/>
      </c>
    </row>
    <row r="1734" spans="1:8" ht="22" customHeight="1">
      <c r="A1734" s="1" t="str">
        <f>IF(AND('Loan Inputs'!$B$12,1728&lt;=IF('Loan Inputs'!$B$12,'Loan Inputs'!$B$7,0)*'Loan Inputs'!$B$14+5*'Loan Inputs'!$B$14,ISNUMBER(G1733),G1733&gt;0),1728,"")</f>
        <v/>
      </c>
      <c r="B1734" s="4" t="str">
        <f>IF(A1734="","",IF('Loan Inputs'!$B$14=12,DATE(YEAR('Loan Inputs'!$B$8),MONTH('Loan Inputs'!$B$8)+A1734,DAY('Loan Inputs'!$B$8)),'Loan Inputs'!$B$8+A1734*IF('Loan Inputs'!$B$14=26,14,7)))</f>
        <v/>
      </c>
      <c r="C1734" s="2" t="str">
        <f t="shared" si="80"/>
        <v/>
      </c>
      <c r="D1734" s="2" t="str">
        <f>IF(A1734="","",MIN('Loan Inputs'!$B$17,C1734+E1734)+H1734)</f>
        <v/>
      </c>
      <c r="E1734" s="2" t="str">
        <f>IF(A1734="","",C1734*'Loan Inputs'!$B$15)</f>
        <v/>
      </c>
      <c r="F1734" s="2" t="str">
        <f t="shared" si="78"/>
        <v/>
      </c>
      <c r="G1734" s="2" t="str">
        <f t="shared" si="79"/>
        <v/>
      </c>
      <c r="H1734" s="2" t="str">
        <f>IF(A1734="","",MIN('Loan Inputs'!$B$18,MAX(0,C1734+E1734-'Loan Inputs'!$B$17)))</f>
        <v/>
      </c>
    </row>
    <row r="1735" spans="1:8" ht="22" customHeight="1">
      <c r="A1735" s="1" t="str">
        <f>IF(AND('Loan Inputs'!$B$12,1729&lt;=IF('Loan Inputs'!$B$12,'Loan Inputs'!$B$7,0)*'Loan Inputs'!$B$14+5*'Loan Inputs'!$B$14,ISNUMBER(G1734),G1734&gt;0),1729,"")</f>
        <v/>
      </c>
      <c r="B1735" s="4" t="str">
        <f>IF(A1735="","",IF('Loan Inputs'!$B$14=12,DATE(YEAR('Loan Inputs'!$B$8),MONTH('Loan Inputs'!$B$8)+A1735,DAY('Loan Inputs'!$B$8)),'Loan Inputs'!$B$8+A1735*IF('Loan Inputs'!$B$14=26,14,7)))</f>
        <v/>
      </c>
      <c r="C1735" s="2" t="str">
        <f t="shared" si="80"/>
        <v/>
      </c>
      <c r="D1735" s="2" t="str">
        <f>IF(A1735="","",MIN('Loan Inputs'!$B$17,C1735+E1735)+H1735)</f>
        <v/>
      </c>
      <c r="E1735" s="2" t="str">
        <f>IF(A1735="","",C1735*'Loan Inputs'!$B$15)</f>
        <v/>
      </c>
      <c r="F1735" s="2" t="str">
        <f t="shared" ref="F1735:F1798" si="81">IF(A1735="","",MIN(C1735,D1735-E1735))</f>
        <v/>
      </c>
      <c r="G1735" s="2" t="str">
        <f t="shared" ref="G1735:G1798" si="82">IF(A1735="","",IF(C1735-F1735&lt;0.0000001,0,MAX(0,C1735-F1735)))</f>
        <v/>
      </c>
      <c r="H1735" s="2" t="str">
        <f>IF(A1735="","",MIN('Loan Inputs'!$B$18,MAX(0,C1735+E1735-'Loan Inputs'!$B$17)))</f>
        <v/>
      </c>
    </row>
    <row r="1736" spans="1:8" ht="22" customHeight="1">
      <c r="A1736" s="1" t="str">
        <f>IF(AND('Loan Inputs'!$B$12,1730&lt;=IF('Loan Inputs'!$B$12,'Loan Inputs'!$B$7,0)*'Loan Inputs'!$B$14+5*'Loan Inputs'!$B$14,ISNUMBER(G1735),G1735&gt;0),1730,"")</f>
        <v/>
      </c>
      <c r="B1736" s="4" t="str">
        <f>IF(A1736="","",IF('Loan Inputs'!$B$14=12,DATE(YEAR('Loan Inputs'!$B$8),MONTH('Loan Inputs'!$B$8)+A1736,DAY('Loan Inputs'!$B$8)),'Loan Inputs'!$B$8+A1736*IF('Loan Inputs'!$B$14=26,14,7)))</f>
        <v/>
      </c>
      <c r="C1736" s="2" t="str">
        <f t="shared" ref="C1736:C1799" si="83">IF(A1736="","",G1735)</f>
        <v/>
      </c>
      <c r="D1736" s="2" t="str">
        <f>IF(A1736="","",MIN('Loan Inputs'!$B$17,C1736+E1736)+H1736)</f>
        <v/>
      </c>
      <c r="E1736" s="2" t="str">
        <f>IF(A1736="","",C1736*'Loan Inputs'!$B$15)</f>
        <v/>
      </c>
      <c r="F1736" s="2" t="str">
        <f t="shared" si="81"/>
        <v/>
      </c>
      <c r="G1736" s="2" t="str">
        <f t="shared" si="82"/>
        <v/>
      </c>
      <c r="H1736" s="2" t="str">
        <f>IF(A1736="","",MIN('Loan Inputs'!$B$18,MAX(0,C1736+E1736-'Loan Inputs'!$B$17)))</f>
        <v/>
      </c>
    </row>
    <row r="1737" spans="1:8" ht="22" customHeight="1">
      <c r="A1737" s="1" t="str">
        <f>IF(AND('Loan Inputs'!$B$12,1731&lt;=IF('Loan Inputs'!$B$12,'Loan Inputs'!$B$7,0)*'Loan Inputs'!$B$14+5*'Loan Inputs'!$B$14,ISNUMBER(G1736),G1736&gt;0),1731,"")</f>
        <v/>
      </c>
      <c r="B1737" s="4" t="str">
        <f>IF(A1737="","",IF('Loan Inputs'!$B$14=12,DATE(YEAR('Loan Inputs'!$B$8),MONTH('Loan Inputs'!$B$8)+A1737,DAY('Loan Inputs'!$B$8)),'Loan Inputs'!$B$8+A1737*IF('Loan Inputs'!$B$14=26,14,7)))</f>
        <v/>
      </c>
      <c r="C1737" s="2" t="str">
        <f t="shared" si="83"/>
        <v/>
      </c>
      <c r="D1737" s="2" t="str">
        <f>IF(A1737="","",MIN('Loan Inputs'!$B$17,C1737+E1737)+H1737)</f>
        <v/>
      </c>
      <c r="E1737" s="2" t="str">
        <f>IF(A1737="","",C1737*'Loan Inputs'!$B$15)</f>
        <v/>
      </c>
      <c r="F1737" s="2" t="str">
        <f t="shared" si="81"/>
        <v/>
      </c>
      <c r="G1737" s="2" t="str">
        <f t="shared" si="82"/>
        <v/>
      </c>
      <c r="H1737" s="2" t="str">
        <f>IF(A1737="","",MIN('Loan Inputs'!$B$18,MAX(0,C1737+E1737-'Loan Inputs'!$B$17)))</f>
        <v/>
      </c>
    </row>
    <row r="1738" spans="1:8" ht="22" customHeight="1">
      <c r="A1738" s="1" t="str">
        <f>IF(AND('Loan Inputs'!$B$12,1732&lt;=IF('Loan Inputs'!$B$12,'Loan Inputs'!$B$7,0)*'Loan Inputs'!$B$14+5*'Loan Inputs'!$B$14,ISNUMBER(G1737),G1737&gt;0),1732,"")</f>
        <v/>
      </c>
      <c r="B1738" s="4" t="str">
        <f>IF(A1738="","",IF('Loan Inputs'!$B$14=12,DATE(YEAR('Loan Inputs'!$B$8),MONTH('Loan Inputs'!$B$8)+A1738,DAY('Loan Inputs'!$B$8)),'Loan Inputs'!$B$8+A1738*IF('Loan Inputs'!$B$14=26,14,7)))</f>
        <v/>
      </c>
      <c r="C1738" s="2" t="str">
        <f t="shared" si="83"/>
        <v/>
      </c>
      <c r="D1738" s="2" t="str">
        <f>IF(A1738="","",MIN('Loan Inputs'!$B$17,C1738+E1738)+H1738)</f>
        <v/>
      </c>
      <c r="E1738" s="2" t="str">
        <f>IF(A1738="","",C1738*'Loan Inputs'!$B$15)</f>
        <v/>
      </c>
      <c r="F1738" s="2" t="str">
        <f t="shared" si="81"/>
        <v/>
      </c>
      <c r="G1738" s="2" t="str">
        <f t="shared" si="82"/>
        <v/>
      </c>
      <c r="H1738" s="2" t="str">
        <f>IF(A1738="","",MIN('Loan Inputs'!$B$18,MAX(0,C1738+E1738-'Loan Inputs'!$B$17)))</f>
        <v/>
      </c>
    </row>
    <row r="1739" spans="1:8" ht="22" customHeight="1">
      <c r="A1739" s="1" t="str">
        <f>IF(AND('Loan Inputs'!$B$12,1733&lt;=IF('Loan Inputs'!$B$12,'Loan Inputs'!$B$7,0)*'Loan Inputs'!$B$14+5*'Loan Inputs'!$B$14,ISNUMBER(G1738),G1738&gt;0),1733,"")</f>
        <v/>
      </c>
      <c r="B1739" s="4" t="str">
        <f>IF(A1739="","",IF('Loan Inputs'!$B$14=12,DATE(YEAR('Loan Inputs'!$B$8),MONTH('Loan Inputs'!$B$8)+A1739,DAY('Loan Inputs'!$B$8)),'Loan Inputs'!$B$8+A1739*IF('Loan Inputs'!$B$14=26,14,7)))</f>
        <v/>
      </c>
      <c r="C1739" s="2" t="str">
        <f t="shared" si="83"/>
        <v/>
      </c>
      <c r="D1739" s="2" t="str">
        <f>IF(A1739="","",MIN('Loan Inputs'!$B$17,C1739+E1739)+H1739)</f>
        <v/>
      </c>
      <c r="E1739" s="2" t="str">
        <f>IF(A1739="","",C1739*'Loan Inputs'!$B$15)</f>
        <v/>
      </c>
      <c r="F1739" s="2" t="str">
        <f t="shared" si="81"/>
        <v/>
      </c>
      <c r="G1739" s="2" t="str">
        <f t="shared" si="82"/>
        <v/>
      </c>
      <c r="H1739" s="2" t="str">
        <f>IF(A1739="","",MIN('Loan Inputs'!$B$18,MAX(0,C1739+E1739-'Loan Inputs'!$B$17)))</f>
        <v/>
      </c>
    </row>
    <row r="1740" spans="1:8" ht="22" customHeight="1">
      <c r="A1740" s="1" t="str">
        <f>IF(AND('Loan Inputs'!$B$12,1734&lt;=IF('Loan Inputs'!$B$12,'Loan Inputs'!$B$7,0)*'Loan Inputs'!$B$14+5*'Loan Inputs'!$B$14,ISNUMBER(G1739),G1739&gt;0),1734,"")</f>
        <v/>
      </c>
      <c r="B1740" s="4" t="str">
        <f>IF(A1740="","",IF('Loan Inputs'!$B$14=12,DATE(YEAR('Loan Inputs'!$B$8),MONTH('Loan Inputs'!$B$8)+A1740,DAY('Loan Inputs'!$B$8)),'Loan Inputs'!$B$8+A1740*IF('Loan Inputs'!$B$14=26,14,7)))</f>
        <v/>
      </c>
      <c r="C1740" s="2" t="str">
        <f t="shared" si="83"/>
        <v/>
      </c>
      <c r="D1740" s="2" t="str">
        <f>IF(A1740="","",MIN('Loan Inputs'!$B$17,C1740+E1740)+H1740)</f>
        <v/>
      </c>
      <c r="E1740" s="2" t="str">
        <f>IF(A1740="","",C1740*'Loan Inputs'!$B$15)</f>
        <v/>
      </c>
      <c r="F1740" s="2" t="str">
        <f t="shared" si="81"/>
        <v/>
      </c>
      <c r="G1740" s="2" t="str">
        <f t="shared" si="82"/>
        <v/>
      </c>
      <c r="H1740" s="2" t="str">
        <f>IF(A1740="","",MIN('Loan Inputs'!$B$18,MAX(0,C1740+E1740-'Loan Inputs'!$B$17)))</f>
        <v/>
      </c>
    </row>
    <row r="1741" spans="1:8" ht="22" customHeight="1">
      <c r="A1741" s="1" t="str">
        <f>IF(AND('Loan Inputs'!$B$12,1735&lt;=IF('Loan Inputs'!$B$12,'Loan Inputs'!$B$7,0)*'Loan Inputs'!$B$14+5*'Loan Inputs'!$B$14,ISNUMBER(G1740),G1740&gt;0),1735,"")</f>
        <v/>
      </c>
      <c r="B1741" s="4" t="str">
        <f>IF(A1741="","",IF('Loan Inputs'!$B$14=12,DATE(YEAR('Loan Inputs'!$B$8),MONTH('Loan Inputs'!$B$8)+A1741,DAY('Loan Inputs'!$B$8)),'Loan Inputs'!$B$8+A1741*IF('Loan Inputs'!$B$14=26,14,7)))</f>
        <v/>
      </c>
      <c r="C1741" s="2" t="str">
        <f t="shared" si="83"/>
        <v/>
      </c>
      <c r="D1741" s="2" t="str">
        <f>IF(A1741="","",MIN('Loan Inputs'!$B$17,C1741+E1741)+H1741)</f>
        <v/>
      </c>
      <c r="E1741" s="2" t="str">
        <f>IF(A1741="","",C1741*'Loan Inputs'!$B$15)</f>
        <v/>
      </c>
      <c r="F1741" s="2" t="str">
        <f t="shared" si="81"/>
        <v/>
      </c>
      <c r="G1741" s="2" t="str">
        <f t="shared" si="82"/>
        <v/>
      </c>
      <c r="H1741" s="2" t="str">
        <f>IF(A1741="","",MIN('Loan Inputs'!$B$18,MAX(0,C1741+E1741-'Loan Inputs'!$B$17)))</f>
        <v/>
      </c>
    </row>
    <row r="1742" spans="1:8" ht="22" customHeight="1">
      <c r="A1742" s="1" t="str">
        <f>IF(AND('Loan Inputs'!$B$12,1736&lt;=IF('Loan Inputs'!$B$12,'Loan Inputs'!$B$7,0)*'Loan Inputs'!$B$14+5*'Loan Inputs'!$B$14,ISNUMBER(G1741),G1741&gt;0),1736,"")</f>
        <v/>
      </c>
      <c r="B1742" s="4" t="str">
        <f>IF(A1742="","",IF('Loan Inputs'!$B$14=12,DATE(YEAR('Loan Inputs'!$B$8),MONTH('Loan Inputs'!$B$8)+A1742,DAY('Loan Inputs'!$B$8)),'Loan Inputs'!$B$8+A1742*IF('Loan Inputs'!$B$14=26,14,7)))</f>
        <v/>
      </c>
      <c r="C1742" s="2" t="str">
        <f t="shared" si="83"/>
        <v/>
      </c>
      <c r="D1742" s="2" t="str">
        <f>IF(A1742="","",MIN('Loan Inputs'!$B$17,C1742+E1742)+H1742)</f>
        <v/>
      </c>
      <c r="E1742" s="2" t="str">
        <f>IF(A1742="","",C1742*'Loan Inputs'!$B$15)</f>
        <v/>
      </c>
      <c r="F1742" s="2" t="str">
        <f t="shared" si="81"/>
        <v/>
      </c>
      <c r="G1742" s="2" t="str">
        <f t="shared" si="82"/>
        <v/>
      </c>
      <c r="H1742" s="2" t="str">
        <f>IF(A1742="","",MIN('Loan Inputs'!$B$18,MAX(0,C1742+E1742-'Loan Inputs'!$B$17)))</f>
        <v/>
      </c>
    </row>
    <row r="1743" spans="1:8" ht="22" customHeight="1">
      <c r="A1743" s="1" t="str">
        <f>IF(AND('Loan Inputs'!$B$12,1737&lt;=IF('Loan Inputs'!$B$12,'Loan Inputs'!$B$7,0)*'Loan Inputs'!$B$14+5*'Loan Inputs'!$B$14,ISNUMBER(G1742),G1742&gt;0),1737,"")</f>
        <v/>
      </c>
      <c r="B1743" s="4" t="str">
        <f>IF(A1743="","",IF('Loan Inputs'!$B$14=12,DATE(YEAR('Loan Inputs'!$B$8),MONTH('Loan Inputs'!$B$8)+A1743,DAY('Loan Inputs'!$B$8)),'Loan Inputs'!$B$8+A1743*IF('Loan Inputs'!$B$14=26,14,7)))</f>
        <v/>
      </c>
      <c r="C1743" s="2" t="str">
        <f t="shared" si="83"/>
        <v/>
      </c>
      <c r="D1743" s="2" t="str">
        <f>IF(A1743="","",MIN('Loan Inputs'!$B$17,C1743+E1743)+H1743)</f>
        <v/>
      </c>
      <c r="E1743" s="2" t="str">
        <f>IF(A1743="","",C1743*'Loan Inputs'!$B$15)</f>
        <v/>
      </c>
      <c r="F1743" s="2" t="str">
        <f t="shared" si="81"/>
        <v/>
      </c>
      <c r="G1743" s="2" t="str">
        <f t="shared" si="82"/>
        <v/>
      </c>
      <c r="H1743" s="2" t="str">
        <f>IF(A1743="","",MIN('Loan Inputs'!$B$18,MAX(0,C1743+E1743-'Loan Inputs'!$B$17)))</f>
        <v/>
      </c>
    </row>
    <row r="1744" spans="1:8" ht="22" customHeight="1">
      <c r="A1744" s="1" t="str">
        <f>IF(AND('Loan Inputs'!$B$12,1738&lt;=IF('Loan Inputs'!$B$12,'Loan Inputs'!$B$7,0)*'Loan Inputs'!$B$14+5*'Loan Inputs'!$B$14,ISNUMBER(G1743),G1743&gt;0),1738,"")</f>
        <v/>
      </c>
      <c r="B1744" s="4" t="str">
        <f>IF(A1744="","",IF('Loan Inputs'!$B$14=12,DATE(YEAR('Loan Inputs'!$B$8),MONTH('Loan Inputs'!$B$8)+A1744,DAY('Loan Inputs'!$B$8)),'Loan Inputs'!$B$8+A1744*IF('Loan Inputs'!$B$14=26,14,7)))</f>
        <v/>
      </c>
      <c r="C1744" s="2" t="str">
        <f t="shared" si="83"/>
        <v/>
      </c>
      <c r="D1744" s="2" t="str">
        <f>IF(A1744="","",MIN('Loan Inputs'!$B$17,C1744+E1744)+H1744)</f>
        <v/>
      </c>
      <c r="E1744" s="2" t="str">
        <f>IF(A1744="","",C1744*'Loan Inputs'!$B$15)</f>
        <v/>
      </c>
      <c r="F1744" s="2" t="str">
        <f t="shared" si="81"/>
        <v/>
      </c>
      <c r="G1744" s="2" t="str">
        <f t="shared" si="82"/>
        <v/>
      </c>
      <c r="H1744" s="2" t="str">
        <f>IF(A1744="","",MIN('Loan Inputs'!$B$18,MAX(0,C1744+E1744-'Loan Inputs'!$B$17)))</f>
        <v/>
      </c>
    </row>
    <row r="1745" spans="1:8" ht="22" customHeight="1">
      <c r="A1745" s="1" t="str">
        <f>IF(AND('Loan Inputs'!$B$12,1739&lt;=IF('Loan Inputs'!$B$12,'Loan Inputs'!$B$7,0)*'Loan Inputs'!$B$14+5*'Loan Inputs'!$B$14,ISNUMBER(G1744),G1744&gt;0),1739,"")</f>
        <v/>
      </c>
      <c r="B1745" s="4" t="str">
        <f>IF(A1745="","",IF('Loan Inputs'!$B$14=12,DATE(YEAR('Loan Inputs'!$B$8),MONTH('Loan Inputs'!$B$8)+A1745,DAY('Loan Inputs'!$B$8)),'Loan Inputs'!$B$8+A1745*IF('Loan Inputs'!$B$14=26,14,7)))</f>
        <v/>
      </c>
      <c r="C1745" s="2" t="str">
        <f t="shared" si="83"/>
        <v/>
      </c>
      <c r="D1745" s="2" t="str">
        <f>IF(A1745="","",MIN('Loan Inputs'!$B$17,C1745+E1745)+H1745)</f>
        <v/>
      </c>
      <c r="E1745" s="2" t="str">
        <f>IF(A1745="","",C1745*'Loan Inputs'!$B$15)</f>
        <v/>
      </c>
      <c r="F1745" s="2" t="str">
        <f t="shared" si="81"/>
        <v/>
      </c>
      <c r="G1745" s="2" t="str">
        <f t="shared" si="82"/>
        <v/>
      </c>
      <c r="H1745" s="2" t="str">
        <f>IF(A1745="","",MIN('Loan Inputs'!$B$18,MAX(0,C1745+E1745-'Loan Inputs'!$B$17)))</f>
        <v/>
      </c>
    </row>
    <row r="1746" spans="1:8" ht="22" customHeight="1">
      <c r="A1746" s="1" t="str">
        <f>IF(AND('Loan Inputs'!$B$12,1740&lt;=IF('Loan Inputs'!$B$12,'Loan Inputs'!$B$7,0)*'Loan Inputs'!$B$14+5*'Loan Inputs'!$B$14,ISNUMBER(G1745),G1745&gt;0),1740,"")</f>
        <v/>
      </c>
      <c r="B1746" s="4" t="str">
        <f>IF(A1746="","",IF('Loan Inputs'!$B$14=12,DATE(YEAR('Loan Inputs'!$B$8),MONTH('Loan Inputs'!$B$8)+A1746,DAY('Loan Inputs'!$B$8)),'Loan Inputs'!$B$8+A1746*IF('Loan Inputs'!$B$14=26,14,7)))</f>
        <v/>
      </c>
      <c r="C1746" s="2" t="str">
        <f t="shared" si="83"/>
        <v/>
      </c>
      <c r="D1746" s="2" t="str">
        <f>IF(A1746="","",MIN('Loan Inputs'!$B$17,C1746+E1746)+H1746)</f>
        <v/>
      </c>
      <c r="E1746" s="2" t="str">
        <f>IF(A1746="","",C1746*'Loan Inputs'!$B$15)</f>
        <v/>
      </c>
      <c r="F1746" s="2" t="str">
        <f t="shared" si="81"/>
        <v/>
      </c>
      <c r="G1746" s="2" t="str">
        <f t="shared" si="82"/>
        <v/>
      </c>
      <c r="H1746" s="2" t="str">
        <f>IF(A1746="","",MIN('Loan Inputs'!$B$18,MAX(0,C1746+E1746-'Loan Inputs'!$B$17)))</f>
        <v/>
      </c>
    </row>
    <row r="1747" spans="1:8" ht="22" customHeight="1">
      <c r="A1747" s="1" t="str">
        <f>IF(AND('Loan Inputs'!$B$12,1741&lt;=IF('Loan Inputs'!$B$12,'Loan Inputs'!$B$7,0)*'Loan Inputs'!$B$14+5*'Loan Inputs'!$B$14,ISNUMBER(G1746),G1746&gt;0),1741,"")</f>
        <v/>
      </c>
      <c r="B1747" s="4" t="str">
        <f>IF(A1747="","",IF('Loan Inputs'!$B$14=12,DATE(YEAR('Loan Inputs'!$B$8),MONTH('Loan Inputs'!$B$8)+A1747,DAY('Loan Inputs'!$B$8)),'Loan Inputs'!$B$8+A1747*IF('Loan Inputs'!$B$14=26,14,7)))</f>
        <v/>
      </c>
      <c r="C1747" s="2" t="str">
        <f t="shared" si="83"/>
        <v/>
      </c>
      <c r="D1747" s="2" t="str">
        <f>IF(A1747="","",MIN('Loan Inputs'!$B$17,C1747+E1747)+H1747)</f>
        <v/>
      </c>
      <c r="E1747" s="2" t="str">
        <f>IF(A1747="","",C1747*'Loan Inputs'!$B$15)</f>
        <v/>
      </c>
      <c r="F1747" s="2" t="str">
        <f t="shared" si="81"/>
        <v/>
      </c>
      <c r="G1747" s="2" t="str">
        <f t="shared" si="82"/>
        <v/>
      </c>
      <c r="H1747" s="2" t="str">
        <f>IF(A1747="","",MIN('Loan Inputs'!$B$18,MAX(0,C1747+E1747-'Loan Inputs'!$B$17)))</f>
        <v/>
      </c>
    </row>
    <row r="1748" spans="1:8" ht="22" customHeight="1">
      <c r="A1748" s="1" t="str">
        <f>IF(AND('Loan Inputs'!$B$12,1742&lt;=IF('Loan Inputs'!$B$12,'Loan Inputs'!$B$7,0)*'Loan Inputs'!$B$14+5*'Loan Inputs'!$B$14,ISNUMBER(G1747),G1747&gt;0),1742,"")</f>
        <v/>
      </c>
      <c r="B1748" s="4" t="str">
        <f>IF(A1748="","",IF('Loan Inputs'!$B$14=12,DATE(YEAR('Loan Inputs'!$B$8),MONTH('Loan Inputs'!$B$8)+A1748,DAY('Loan Inputs'!$B$8)),'Loan Inputs'!$B$8+A1748*IF('Loan Inputs'!$B$14=26,14,7)))</f>
        <v/>
      </c>
      <c r="C1748" s="2" t="str">
        <f t="shared" si="83"/>
        <v/>
      </c>
      <c r="D1748" s="2" t="str">
        <f>IF(A1748="","",MIN('Loan Inputs'!$B$17,C1748+E1748)+H1748)</f>
        <v/>
      </c>
      <c r="E1748" s="2" t="str">
        <f>IF(A1748="","",C1748*'Loan Inputs'!$B$15)</f>
        <v/>
      </c>
      <c r="F1748" s="2" t="str">
        <f t="shared" si="81"/>
        <v/>
      </c>
      <c r="G1748" s="2" t="str">
        <f t="shared" si="82"/>
        <v/>
      </c>
      <c r="H1748" s="2" t="str">
        <f>IF(A1748="","",MIN('Loan Inputs'!$B$18,MAX(0,C1748+E1748-'Loan Inputs'!$B$17)))</f>
        <v/>
      </c>
    </row>
    <row r="1749" spans="1:8" ht="22" customHeight="1">
      <c r="A1749" s="1" t="str">
        <f>IF(AND('Loan Inputs'!$B$12,1743&lt;=IF('Loan Inputs'!$B$12,'Loan Inputs'!$B$7,0)*'Loan Inputs'!$B$14+5*'Loan Inputs'!$B$14,ISNUMBER(G1748),G1748&gt;0),1743,"")</f>
        <v/>
      </c>
      <c r="B1749" s="4" t="str">
        <f>IF(A1749="","",IF('Loan Inputs'!$B$14=12,DATE(YEAR('Loan Inputs'!$B$8),MONTH('Loan Inputs'!$B$8)+A1749,DAY('Loan Inputs'!$B$8)),'Loan Inputs'!$B$8+A1749*IF('Loan Inputs'!$B$14=26,14,7)))</f>
        <v/>
      </c>
      <c r="C1749" s="2" t="str">
        <f t="shared" si="83"/>
        <v/>
      </c>
      <c r="D1749" s="2" t="str">
        <f>IF(A1749="","",MIN('Loan Inputs'!$B$17,C1749+E1749)+H1749)</f>
        <v/>
      </c>
      <c r="E1749" s="2" t="str">
        <f>IF(A1749="","",C1749*'Loan Inputs'!$B$15)</f>
        <v/>
      </c>
      <c r="F1749" s="2" t="str">
        <f t="shared" si="81"/>
        <v/>
      </c>
      <c r="G1749" s="2" t="str">
        <f t="shared" si="82"/>
        <v/>
      </c>
      <c r="H1749" s="2" t="str">
        <f>IF(A1749="","",MIN('Loan Inputs'!$B$18,MAX(0,C1749+E1749-'Loan Inputs'!$B$17)))</f>
        <v/>
      </c>
    </row>
    <row r="1750" spans="1:8" ht="22" customHeight="1">
      <c r="A1750" s="1" t="str">
        <f>IF(AND('Loan Inputs'!$B$12,1744&lt;=IF('Loan Inputs'!$B$12,'Loan Inputs'!$B$7,0)*'Loan Inputs'!$B$14+5*'Loan Inputs'!$B$14,ISNUMBER(G1749),G1749&gt;0),1744,"")</f>
        <v/>
      </c>
      <c r="B1750" s="4" t="str">
        <f>IF(A1750="","",IF('Loan Inputs'!$B$14=12,DATE(YEAR('Loan Inputs'!$B$8),MONTH('Loan Inputs'!$B$8)+A1750,DAY('Loan Inputs'!$B$8)),'Loan Inputs'!$B$8+A1750*IF('Loan Inputs'!$B$14=26,14,7)))</f>
        <v/>
      </c>
      <c r="C1750" s="2" t="str">
        <f t="shared" si="83"/>
        <v/>
      </c>
      <c r="D1750" s="2" t="str">
        <f>IF(A1750="","",MIN('Loan Inputs'!$B$17,C1750+E1750)+H1750)</f>
        <v/>
      </c>
      <c r="E1750" s="2" t="str">
        <f>IF(A1750="","",C1750*'Loan Inputs'!$B$15)</f>
        <v/>
      </c>
      <c r="F1750" s="2" t="str">
        <f t="shared" si="81"/>
        <v/>
      </c>
      <c r="G1750" s="2" t="str">
        <f t="shared" si="82"/>
        <v/>
      </c>
      <c r="H1750" s="2" t="str">
        <f>IF(A1750="","",MIN('Loan Inputs'!$B$18,MAX(0,C1750+E1750-'Loan Inputs'!$B$17)))</f>
        <v/>
      </c>
    </row>
    <row r="1751" spans="1:8" ht="22" customHeight="1">
      <c r="A1751" s="1" t="str">
        <f>IF(AND('Loan Inputs'!$B$12,1745&lt;=IF('Loan Inputs'!$B$12,'Loan Inputs'!$B$7,0)*'Loan Inputs'!$B$14+5*'Loan Inputs'!$B$14,ISNUMBER(G1750),G1750&gt;0),1745,"")</f>
        <v/>
      </c>
      <c r="B1751" s="4" t="str">
        <f>IF(A1751="","",IF('Loan Inputs'!$B$14=12,DATE(YEAR('Loan Inputs'!$B$8),MONTH('Loan Inputs'!$B$8)+A1751,DAY('Loan Inputs'!$B$8)),'Loan Inputs'!$B$8+A1751*IF('Loan Inputs'!$B$14=26,14,7)))</f>
        <v/>
      </c>
      <c r="C1751" s="2" t="str">
        <f t="shared" si="83"/>
        <v/>
      </c>
      <c r="D1751" s="2" t="str">
        <f>IF(A1751="","",MIN('Loan Inputs'!$B$17,C1751+E1751)+H1751)</f>
        <v/>
      </c>
      <c r="E1751" s="2" t="str">
        <f>IF(A1751="","",C1751*'Loan Inputs'!$B$15)</f>
        <v/>
      </c>
      <c r="F1751" s="2" t="str">
        <f t="shared" si="81"/>
        <v/>
      </c>
      <c r="G1751" s="2" t="str">
        <f t="shared" si="82"/>
        <v/>
      </c>
      <c r="H1751" s="2" t="str">
        <f>IF(A1751="","",MIN('Loan Inputs'!$B$18,MAX(0,C1751+E1751-'Loan Inputs'!$B$17)))</f>
        <v/>
      </c>
    </row>
    <row r="1752" spans="1:8" ht="22" customHeight="1">
      <c r="A1752" s="1" t="str">
        <f>IF(AND('Loan Inputs'!$B$12,1746&lt;=IF('Loan Inputs'!$B$12,'Loan Inputs'!$B$7,0)*'Loan Inputs'!$B$14+5*'Loan Inputs'!$B$14,ISNUMBER(G1751),G1751&gt;0),1746,"")</f>
        <v/>
      </c>
      <c r="B1752" s="4" t="str">
        <f>IF(A1752="","",IF('Loan Inputs'!$B$14=12,DATE(YEAR('Loan Inputs'!$B$8),MONTH('Loan Inputs'!$B$8)+A1752,DAY('Loan Inputs'!$B$8)),'Loan Inputs'!$B$8+A1752*IF('Loan Inputs'!$B$14=26,14,7)))</f>
        <v/>
      </c>
      <c r="C1752" s="2" t="str">
        <f t="shared" si="83"/>
        <v/>
      </c>
      <c r="D1752" s="2" t="str">
        <f>IF(A1752="","",MIN('Loan Inputs'!$B$17,C1752+E1752)+H1752)</f>
        <v/>
      </c>
      <c r="E1752" s="2" t="str">
        <f>IF(A1752="","",C1752*'Loan Inputs'!$B$15)</f>
        <v/>
      </c>
      <c r="F1752" s="2" t="str">
        <f t="shared" si="81"/>
        <v/>
      </c>
      <c r="G1752" s="2" t="str">
        <f t="shared" si="82"/>
        <v/>
      </c>
      <c r="H1752" s="2" t="str">
        <f>IF(A1752="","",MIN('Loan Inputs'!$B$18,MAX(0,C1752+E1752-'Loan Inputs'!$B$17)))</f>
        <v/>
      </c>
    </row>
    <row r="1753" spans="1:8" ht="22" customHeight="1">
      <c r="A1753" s="1" t="str">
        <f>IF(AND('Loan Inputs'!$B$12,1747&lt;=IF('Loan Inputs'!$B$12,'Loan Inputs'!$B$7,0)*'Loan Inputs'!$B$14+5*'Loan Inputs'!$B$14,ISNUMBER(G1752),G1752&gt;0),1747,"")</f>
        <v/>
      </c>
      <c r="B1753" s="4" t="str">
        <f>IF(A1753="","",IF('Loan Inputs'!$B$14=12,DATE(YEAR('Loan Inputs'!$B$8),MONTH('Loan Inputs'!$B$8)+A1753,DAY('Loan Inputs'!$B$8)),'Loan Inputs'!$B$8+A1753*IF('Loan Inputs'!$B$14=26,14,7)))</f>
        <v/>
      </c>
      <c r="C1753" s="2" t="str">
        <f t="shared" si="83"/>
        <v/>
      </c>
      <c r="D1753" s="2" t="str">
        <f>IF(A1753="","",MIN('Loan Inputs'!$B$17,C1753+E1753)+H1753)</f>
        <v/>
      </c>
      <c r="E1753" s="2" t="str">
        <f>IF(A1753="","",C1753*'Loan Inputs'!$B$15)</f>
        <v/>
      </c>
      <c r="F1753" s="2" t="str">
        <f t="shared" si="81"/>
        <v/>
      </c>
      <c r="G1753" s="2" t="str">
        <f t="shared" si="82"/>
        <v/>
      </c>
      <c r="H1753" s="2" t="str">
        <f>IF(A1753="","",MIN('Loan Inputs'!$B$18,MAX(0,C1753+E1753-'Loan Inputs'!$B$17)))</f>
        <v/>
      </c>
    </row>
    <row r="1754" spans="1:8" ht="22" customHeight="1">
      <c r="A1754" s="1" t="str">
        <f>IF(AND('Loan Inputs'!$B$12,1748&lt;=IF('Loan Inputs'!$B$12,'Loan Inputs'!$B$7,0)*'Loan Inputs'!$B$14+5*'Loan Inputs'!$B$14,ISNUMBER(G1753),G1753&gt;0),1748,"")</f>
        <v/>
      </c>
      <c r="B1754" s="4" t="str">
        <f>IF(A1754="","",IF('Loan Inputs'!$B$14=12,DATE(YEAR('Loan Inputs'!$B$8),MONTH('Loan Inputs'!$B$8)+A1754,DAY('Loan Inputs'!$B$8)),'Loan Inputs'!$B$8+A1754*IF('Loan Inputs'!$B$14=26,14,7)))</f>
        <v/>
      </c>
      <c r="C1754" s="2" t="str">
        <f t="shared" si="83"/>
        <v/>
      </c>
      <c r="D1754" s="2" t="str">
        <f>IF(A1754="","",MIN('Loan Inputs'!$B$17,C1754+E1754)+H1754)</f>
        <v/>
      </c>
      <c r="E1754" s="2" t="str">
        <f>IF(A1754="","",C1754*'Loan Inputs'!$B$15)</f>
        <v/>
      </c>
      <c r="F1754" s="2" t="str">
        <f t="shared" si="81"/>
        <v/>
      </c>
      <c r="G1754" s="2" t="str">
        <f t="shared" si="82"/>
        <v/>
      </c>
      <c r="H1754" s="2" t="str">
        <f>IF(A1754="","",MIN('Loan Inputs'!$B$18,MAX(0,C1754+E1754-'Loan Inputs'!$B$17)))</f>
        <v/>
      </c>
    </row>
    <row r="1755" spans="1:8" ht="22" customHeight="1">
      <c r="A1755" s="1" t="str">
        <f>IF(AND('Loan Inputs'!$B$12,1749&lt;=IF('Loan Inputs'!$B$12,'Loan Inputs'!$B$7,0)*'Loan Inputs'!$B$14+5*'Loan Inputs'!$B$14,ISNUMBER(G1754),G1754&gt;0),1749,"")</f>
        <v/>
      </c>
      <c r="B1755" s="4" t="str">
        <f>IF(A1755="","",IF('Loan Inputs'!$B$14=12,DATE(YEAR('Loan Inputs'!$B$8),MONTH('Loan Inputs'!$B$8)+A1755,DAY('Loan Inputs'!$B$8)),'Loan Inputs'!$B$8+A1755*IF('Loan Inputs'!$B$14=26,14,7)))</f>
        <v/>
      </c>
      <c r="C1755" s="2" t="str">
        <f t="shared" si="83"/>
        <v/>
      </c>
      <c r="D1755" s="2" t="str">
        <f>IF(A1755="","",MIN('Loan Inputs'!$B$17,C1755+E1755)+H1755)</f>
        <v/>
      </c>
      <c r="E1755" s="2" t="str">
        <f>IF(A1755="","",C1755*'Loan Inputs'!$B$15)</f>
        <v/>
      </c>
      <c r="F1755" s="2" t="str">
        <f t="shared" si="81"/>
        <v/>
      </c>
      <c r="G1755" s="2" t="str">
        <f t="shared" si="82"/>
        <v/>
      </c>
      <c r="H1755" s="2" t="str">
        <f>IF(A1755="","",MIN('Loan Inputs'!$B$18,MAX(0,C1755+E1755-'Loan Inputs'!$B$17)))</f>
        <v/>
      </c>
    </row>
    <row r="1756" spans="1:8" ht="22" customHeight="1">
      <c r="A1756" s="1" t="str">
        <f>IF(AND('Loan Inputs'!$B$12,1750&lt;=IF('Loan Inputs'!$B$12,'Loan Inputs'!$B$7,0)*'Loan Inputs'!$B$14+5*'Loan Inputs'!$B$14,ISNUMBER(G1755),G1755&gt;0),1750,"")</f>
        <v/>
      </c>
      <c r="B1756" s="4" t="str">
        <f>IF(A1756="","",IF('Loan Inputs'!$B$14=12,DATE(YEAR('Loan Inputs'!$B$8),MONTH('Loan Inputs'!$B$8)+A1756,DAY('Loan Inputs'!$B$8)),'Loan Inputs'!$B$8+A1756*IF('Loan Inputs'!$B$14=26,14,7)))</f>
        <v/>
      </c>
      <c r="C1756" s="2" t="str">
        <f t="shared" si="83"/>
        <v/>
      </c>
      <c r="D1756" s="2" t="str">
        <f>IF(A1756="","",MIN('Loan Inputs'!$B$17,C1756+E1756)+H1756)</f>
        <v/>
      </c>
      <c r="E1756" s="2" t="str">
        <f>IF(A1756="","",C1756*'Loan Inputs'!$B$15)</f>
        <v/>
      </c>
      <c r="F1756" s="2" t="str">
        <f t="shared" si="81"/>
        <v/>
      </c>
      <c r="G1756" s="2" t="str">
        <f t="shared" si="82"/>
        <v/>
      </c>
      <c r="H1756" s="2" t="str">
        <f>IF(A1756="","",MIN('Loan Inputs'!$B$18,MAX(0,C1756+E1756-'Loan Inputs'!$B$17)))</f>
        <v/>
      </c>
    </row>
    <row r="1757" spans="1:8" ht="22" customHeight="1">
      <c r="A1757" s="1" t="str">
        <f>IF(AND('Loan Inputs'!$B$12,1751&lt;=IF('Loan Inputs'!$B$12,'Loan Inputs'!$B$7,0)*'Loan Inputs'!$B$14+5*'Loan Inputs'!$B$14,ISNUMBER(G1756),G1756&gt;0),1751,"")</f>
        <v/>
      </c>
      <c r="B1757" s="4" t="str">
        <f>IF(A1757="","",IF('Loan Inputs'!$B$14=12,DATE(YEAR('Loan Inputs'!$B$8),MONTH('Loan Inputs'!$B$8)+A1757,DAY('Loan Inputs'!$B$8)),'Loan Inputs'!$B$8+A1757*IF('Loan Inputs'!$B$14=26,14,7)))</f>
        <v/>
      </c>
      <c r="C1757" s="2" t="str">
        <f t="shared" si="83"/>
        <v/>
      </c>
      <c r="D1757" s="2" t="str">
        <f>IF(A1757="","",MIN('Loan Inputs'!$B$17,C1757+E1757)+H1757)</f>
        <v/>
      </c>
      <c r="E1757" s="2" t="str">
        <f>IF(A1757="","",C1757*'Loan Inputs'!$B$15)</f>
        <v/>
      </c>
      <c r="F1757" s="2" t="str">
        <f t="shared" si="81"/>
        <v/>
      </c>
      <c r="G1757" s="2" t="str">
        <f t="shared" si="82"/>
        <v/>
      </c>
      <c r="H1757" s="2" t="str">
        <f>IF(A1757="","",MIN('Loan Inputs'!$B$18,MAX(0,C1757+E1757-'Loan Inputs'!$B$17)))</f>
        <v/>
      </c>
    </row>
    <row r="1758" spans="1:8" ht="22" customHeight="1">
      <c r="A1758" s="1" t="str">
        <f>IF(AND('Loan Inputs'!$B$12,1752&lt;=IF('Loan Inputs'!$B$12,'Loan Inputs'!$B$7,0)*'Loan Inputs'!$B$14+5*'Loan Inputs'!$B$14,ISNUMBER(G1757),G1757&gt;0),1752,"")</f>
        <v/>
      </c>
      <c r="B1758" s="4" t="str">
        <f>IF(A1758="","",IF('Loan Inputs'!$B$14=12,DATE(YEAR('Loan Inputs'!$B$8),MONTH('Loan Inputs'!$B$8)+A1758,DAY('Loan Inputs'!$B$8)),'Loan Inputs'!$B$8+A1758*IF('Loan Inputs'!$B$14=26,14,7)))</f>
        <v/>
      </c>
      <c r="C1758" s="2" t="str">
        <f t="shared" si="83"/>
        <v/>
      </c>
      <c r="D1758" s="2" t="str">
        <f>IF(A1758="","",MIN('Loan Inputs'!$B$17,C1758+E1758)+H1758)</f>
        <v/>
      </c>
      <c r="E1758" s="2" t="str">
        <f>IF(A1758="","",C1758*'Loan Inputs'!$B$15)</f>
        <v/>
      </c>
      <c r="F1758" s="2" t="str">
        <f t="shared" si="81"/>
        <v/>
      </c>
      <c r="G1758" s="2" t="str">
        <f t="shared" si="82"/>
        <v/>
      </c>
      <c r="H1758" s="2" t="str">
        <f>IF(A1758="","",MIN('Loan Inputs'!$B$18,MAX(0,C1758+E1758-'Loan Inputs'!$B$17)))</f>
        <v/>
      </c>
    </row>
    <row r="1759" spans="1:8" ht="22" customHeight="1">
      <c r="A1759" s="1" t="str">
        <f>IF(AND('Loan Inputs'!$B$12,1753&lt;=IF('Loan Inputs'!$B$12,'Loan Inputs'!$B$7,0)*'Loan Inputs'!$B$14+5*'Loan Inputs'!$B$14,ISNUMBER(G1758),G1758&gt;0),1753,"")</f>
        <v/>
      </c>
      <c r="B1759" s="4" t="str">
        <f>IF(A1759="","",IF('Loan Inputs'!$B$14=12,DATE(YEAR('Loan Inputs'!$B$8),MONTH('Loan Inputs'!$B$8)+A1759,DAY('Loan Inputs'!$B$8)),'Loan Inputs'!$B$8+A1759*IF('Loan Inputs'!$B$14=26,14,7)))</f>
        <v/>
      </c>
      <c r="C1759" s="2" t="str">
        <f t="shared" si="83"/>
        <v/>
      </c>
      <c r="D1759" s="2" t="str">
        <f>IF(A1759="","",MIN('Loan Inputs'!$B$17,C1759+E1759)+H1759)</f>
        <v/>
      </c>
      <c r="E1759" s="2" t="str">
        <f>IF(A1759="","",C1759*'Loan Inputs'!$B$15)</f>
        <v/>
      </c>
      <c r="F1759" s="2" t="str">
        <f t="shared" si="81"/>
        <v/>
      </c>
      <c r="G1759" s="2" t="str">
        <f t="shared" si="82"/>
        <v/>
      </c>
      <c r="H1759" s="2" t="str">
        <f>IF(A1759="","",MIN('Loan Inputs'!$B$18,MAX(0,C1759+E1759-'Loan Inputs'!$B$17)))</f>
        <v/>
      </c>
    </row>
    <row r="1760" spans="1:8" ht="22" customHeight="1">
      <c r="A1760" s="1" t="str">
        <f>IF(AND('Loan Inputs'!$B$12,1754&lt;=IF('Loan Inputs'!$B$12,'Loan Inputs'!$B$7,0)*'Loan Inputs'!$B$14+5*'Loan Inputs'!$B$14,ISNUMBER(G1759),G1759&gt;0),1754,"")</f>
        <v/>
      </c>
      <c r="B1760" s="4" t="str">
        <f>IF(A1760="","",IF('Loan Inputs'!$B$14=12,DATE(YEAR('Loan Inputs'!$B$8),MONTH('Loan Inputs'!$B$8)+A1760,DAY('Loan Inputs'!$B$8)),'Loan Inputs'!$B$8+A1760*IF('Loan Inputs'!$B$14=26,14,7)))</f>
        <v/>
      </c>
      <c r="C1760" s="2" t="str">
        <f t="shared" si="83"/>
        <v/>
      </c>
      <c r="D1760" s="2" t="str">
        <f>IF(A1760="","",MIN('Loan Inputs'!$B$17,C1760+E1760)+H1760)</f>
        <v/>
      </c>
      <c r="E1760" s="2" t="str">
        <f>IF(A1760="","",C1760*'Loan Inputs'!$B$15)</f>
        <v/>
      </c>
      <c r="F1760" s="2" t="str">
        <f t="shared" si="81"/>
        <v/>
      </c>
      <c r="G1760" s="2" t="str">
        <f t="shared" si="82"/>
        <v/>
      </c>
      <c r="H1760" s="2" t="str">
        <f>IF(A1760="","",MIN('Loan Inputs'!$B$18,MAX(0,C1760+E1760-'Loan Inputs'!$B$17)))</f>
        <v/>
      </c>
    </row>
    <row r="1761" spans="1:8" ht="22" customHeight="1">
      <c r="A1761" s="1" t="str">
        <f>IF(AND('Loan Inputs'!$B$12,1755&lt;=IF('Loan Inputs'!$B$12,'Loan Inputs'!$B$7,0)*'Loan Inputs'!$B$14+5*'Loan Inputs'!$B$14,ISNUMBER(G1760),G1760&gt;0),1755,"")</f>
        <v/>
      </c>
      <c r="B1761" s="4" t="str">
        <f>IF(A1761="","",IF('Loan Inputs'!$B$14=12,DATE(YEAR('Loan Inputs'!$B$8),MONTH('Loan Inputs'!$B$8)+A1761,DAY('Loan Inputs'!$B$8)),'Loan Inputs'!$B$8+A1761*IF('Loan Inputs'!$B$14=26,14,7)))</f>
        <v/>
      </c>
      <c r="C1761" s="2" t="str">
        <f t="shared" si="83"/>
        <v/>
      </c>
      <c r="D1761" s="2" t="str">
        <f>IF(A1761="","",MIN('Loan Inputs'!$B$17,C1761+E1761)+H1761)</f>
        <v/>
      </c>
      <c r="E1761" s="2" t="str">
        <f>IF(A1761="","",C1761*'Loan Inputs'!$B$15)</f>
        <v/>
      </c>
      <c r="F1761" s="2" t="str">
        <f t="shared" si="81"/>
        <v/>
      </c>
      <c r="G1761" s="2" t="str">
        <f t="shared" si="82"/>
        <v/>
      </c>
      <c r="H1761" s="2" t="str">
        <f>IF(A1761="","",MIN('Loan Inputs'!$B$18,MAX(0,C1761+E1761-'Loan Inputs'!$B$17)))</f>
        <v/>
      </c>
    </row>
    <row r="1762" spans="1:8" ht="22" customHeight="1">
      <c r="A1762" s="1" t="str">
        <f>IF(AND('Loan Inputs'!$B$12,1756&lt;=IF('Loan Inputs'!$B$12,'Loan Inputs'!$B$7,0)*'Loan Inputs'!$B$14+5*'Loan Inputs'!$B$14,ISNUMBER(G1761),G1761&gt;0),1756,"")</f>
        <v/>
      </c>
      <c r="B1762" s="4" t="str">
        <f>IF(A1762="","",IF('Loan Inputs'!$B$14=12,DATE(YEAR('Loan Inputs'!$B$8),MONTH('Loan Inputs'!$B$8)+A1762,DAY('Loan Inputs'!$B$8)),'Loan Inputs'!$B$8+A1762*IF('Loan Inputs'!$B$14=26,14,7)))</f>
        <v/>
      </c>
      <c r="C1762" s="2" t="str">
        <f t="shared" si="83"/>
        <v/>
      </c>
      <c r="D1762" s="2" t="str">
        <f>IF(A1762="","",MIN('Loan Inputs'!$B$17,C1762+E1762)+H1762)</f>
        <v/>
      </c>
      <c r="E1762" s="2" t="str">
        <f>IF(A1762="","",C1762*'Loan Inputs'!$B$15)</f>
        <v/>
      </c>
      <c r="F1762" s="2" t="str">
        <f t="shared" si="81"/>
        <v/>
      </c>
      <c r="G1762" s="2" t="str">
        <f t="shared" si="82"/>
        <v/>
      </c>
      <c r="H1762" s="2" t="str">
        <f>IF(A1762="","",MIN('Loan Inputs'!$B$18,MAX(0,C1762+E1762-'Loan Inputs'!$B$17)))</f>
        <v/>
      </c>
    </row>
    <row r="1763" spans="1:8" ht="22" customHeight="1">
      <c r="A1763" s="1" t="str">
        <f>IF(AND('Loan Inputs'!$B$12,1757&lt;=IF('Loan Inputs'!$B$12,'Loan Inputs'!$B$7,0)*'Loan Inputs'!$B$14+5*'Loan Inputs'!$B$14,ISNUMBER(G1762),G1762&gt;0),1757,"")</f>
        <v/>
      </c>
      <c r="B1763" s="4" t="str">
        <f>IF(A1763="","",IF('Loan Inputs'!$B$14=12,DATE(YEAR('Loan Inputs'!$B$8),MONTH('Loan Inputs'!$B$8)+A1763,DAY('Loan Inputs'!$B$8)),'Loan Inputs'!$B$8+A1763*IF('Loan Inputs'!$B$14=26,14,7)))</f>
        <v/>
      </c>
      <c r="C1763" s="2" t="str">
        <f t="shared" si="83"/>
        <v/>
      </c>
      <c r="D1763" s="2" t="str">
        <f>IF(A1763="","",MIN('Loan Inputs'!$B$17,C1763+E1763)+H1763)</f>
        <v/>
      </c>
      <c r="E1763" s="2" t="str">
        <f>IF(A1763="","",C1763*'Loan Inputs'!$B$15)</f>
        <v/>
      </c>
      <c r="F1763" s="2" t="str">
        <f t="shared" si="81"/>
        <v/>
      </c>
      <c r="G1763" s="2" t="str">
        <f t="shared" si="82"/>
        <v/>
      </c>
      <c r="H1763" s="2" t="str">
        <f>IF(A1763="","",MIN('Loan Inputs'!$B$18,MAX(0,C1763+E1763-'Loan Inputs'!$B$17)))</f>
        <v/>
      </c>
    </row>
    <row r="1764" spans="1:8" ht="22" customHeight="1">
      <c r="A1764" s="1" t="str">
        <f>IF(AND('Loan Inputs'!$B$12,1758&lt;=IF('Loan Inputs'!$B$12,'Loan Inputs'!$B$7,0)*'Loan Inputs'!$B$14+5*'Loan Inputs'!$B$14,ISNUMBER(G1763),G1763&gt;0),1758,"")</f>
        <v/>
      </c>
      <c r="B1764" s="4" t="str">
        <f>IF(A1764="","",IF('Loan Inputs'!$B$14=12,DATE(YEAR('Loan Inputs'!$B$8),MONTH('Loan Inputs'!$B$8)+A1764,DAY('Loan Inputs'!$B$8)),'Loan Inputs'!$B$8+A1764*IF('Loan Inputs'!$B$14=26,14,7)))</f>
        <v/>
      </c>
      <c r="C1764" s="2" t="str">
        <f t="shared" si="83"/>
        <v/>
      </c>
      <c r="D1764" s="2" t="str">
        <f>IF(A1764="","",MIN('Loan Inputs'!$B$17,C1764+E1764)+H1764)</f>
        <v/>
      </c>
      <c r="E1764" s="2" t="str">
        <f>IF(A1764="","",C1764*'Loan Inputs'!$B$15)</f>
        <v/>
      </c>
      <c r="F1764" s="2" t="str">
        <f t="shared" si="81"/>
        <v/>
      </c>
      <c r="G1764" s="2" t="str">
        <f t="shared" si="82"/>
        <v/>
      </c>
      <c r="H1764" s="2" t="str">
        <f>IF(A1764="","",MIN('Loan Inputs'!$B$18,MAX(0,C1764+E1764-'Loan Inputs'!$B$17)))</f>
        <v/>
      </c>
    </row>
    <row r="1765" spans="1:8" ht="22" customHeight="1">
      <c r="A1765" s="1" t="str">
        <f>IF(AND('Loan Inputs'!$B$12,1759&lt;=IF('Loan Inputs'!$B$12,'Loan Inputs'!$B$7,0)*'Loan Inputs'!$B$14+5*'Loan Inputs'!$B$14,ISNUMBER(G1764),G1764&gt;0),1759,"")</f>
        <v/>
      </c>
      <c r="B1765" s="4" t="str">
        <f>IF(A1765="","",IF('Loan Inputs'!$B$14=12,DATE(YEAR('Loan Inputs'!$B$8),MONTH('Loan Inputs'!$B$8)+A1765,DAY('Loan Inputs'!$B$8)),'Loan Inputs'!$B$8+A1765*IF('Loan Inputs'!$B$14=26,14,7)))</f>
        <v/>
      </c>
      <c r="C1765" s="2" t="str">
        <f t="shared" si="83"/>
        <v/>
      </c>
      <c r="D1765" s="2" t="str">
        <f>IF(A1765="","",MIN('Loan Inputs'!$B$17,C1765+E1765)+H1765)</f>
        <v/>
      </c>
      <c r="E1765" s="2" t="str">
        <f>IF(A1765="","",C1765*'Loan Inputs'!$B$15)</f>
        <v/>
      </c>
      <c r="F1765" s="2" t="str">
        <f t="shared" si="81"/>
        <v/>
      </c>
      <c r="G1765" s="2" t="str">
        <f t="shared" si="82"/>
        <v/>
      </c>
      <c r="H1765" s="2" t="str">
        <f>IF(A1765="","",MIN('Loan Inputs'!$B$18,MAX(0,C1765+E1765-'Loan Inputs'!$B$17)))</f>
        <v/>
      </c>
    </row>
    <row r="1766" spans="1:8" ht="22" customHeight="1">
      <c r="A1766" s="1" t="str">
        <f>IF(AND('Loan Inputs'!$B$12,1760&lt;=IF('Loan Inputs'!$B$12,'Loan Inputs'!$B$7,0)*'Loan Inputs'!$B$14+5*'Loan Inputs'!$B$14,ISNUMBER(G1765),G1765&gt;0),1760,"")</f>
        <v/>
      </c>
      <c r="B1766" s="4" t="str">
        <f>IF(A1766="","",IF('Loan Inputs'!$B$14=12,DATE(YEAR('Loan Inputs'!$B$8),MONTH('Loan Inputs'!$B$8)+A1766,DAY('Loan Inputs'!$B$8)),'Loan Inputs'!$B$8+A1766*IF('Loan Inputs'!$B$14=26,14,7)))</f>
        <v/>
      </c>
      <c r="C1766" s="2" t="str">
        <f t="shared" si="83"/>
        <v/>
      </c>
      <c r="D1766" s="2" t="str">
        <f>IF(A1766="","",MIN('Loan Inputs'!$B$17,C1766+E1766)+H1766)</f>
        <v/>
      </c>
      <c r="E1766" s="2" t="str">
        <f>IF(A1766="","",C1766*'Loan Inputs'!$B$15)</f>
        <v/>
      </c>
      <c r="F1766" s="2" t="str">
        <f t="shared" si="81"/>
        <v/>
      </c>
      <c r="G1766" s="2" t="str">
        <f t="shared" si="82"/>
        <v/>
      </c>
      <c r="H1766" s="2" t="str">
        <f>IF(A1766="","",MIN('Loan Inputs'!$B$18,MAX(0,C1766+E1766-'Loan Inputs'!$B$17)))</f>
        <v/>
      </c>
    </row>
    <row r="1767" spans="1:8" ht="22" customHeight="1">
      <c r="A1767" s="1" t="str">
        <f>IF(AND('Loan Inputs'!$B$12,1761&lt;=IF('Loan Inputs'!$B$12,'Loan Inputs'!$B$7,0)*'Loan Inputs'!$B$14+5*'Loan Inputs'!$B$14,ISNUMBER(G1766),G1766&gt;0),1761,"")</f>
        <v/>
      </c>
      <c r="B1767" s="4" t="str">
        <f>IF(A1767="","",IF('Loan Inputs'!$B$14=12,DATE(YEAR('Loan Inputs'!$B$8),MONTH('Loan Inputs'!$B$8)+A1767,DAY('Loan Inputs'!$B$8)),'Loan Inputs'!$B$8+A1767*IF('Loan Inputs'!$B$14=26,14,7)))</f>
        <v/>
      </c>
      <c r="C1767" s="2" t="str">
        <f t="shared" si="83"/>
        <v/>
      </c>
      <c r="D1767" s="2" t="str">
        <f>IF(A1767="","",MIN('Loan Inputs'!$B$17,C1767+E1767)+H1767)</f>
        <v/>
      </c>
      <c r="E1767" s="2" t="str">
        <f>IF(A1767="","",C1767*'Loan Inputs'!$B$15)</f>
        <v/>
      </c>
      <c r="F1767" s="2" t="str">
        <f t="shared" si="81"/>
        <v/>
      </c>
      <c r="G1767" s="2" t="str">
        <f t="shared" si="82"/>
        <v/>
      </c>
      <c r="H1767" s="2" t="str">
        <f>IF(A1767="","",MIN('Loan Inputs'!$B$18,MAX(0,C1767+E1767-'Loan Inputs'!$B$17)))</f>
        <v/>
      </c>
    </row>
    <row r="1768" spans="1:8" ht="22" customHeight="1">
      <c r="A1768" s="1" t="str">
        <f>IF(AND('Loan Inputs'!$B$12,1762&lt;=IF('Loan Inputs'!$B$12,'Loan Inputs'!$B$7,0)*'Loan Inputs'!$B$14+5*'Loan Inputs'!$B$14,ISNUMBER(G1767),G1767&gt;0),1762,"")</f>
        <v/>
      </c>
      <c r="B1768" s="4" t="str">
        <f>IF(A1768="","",IF('Loan Inputs'!$B$14=12,DATE(YEAR('Loan Inputs'!$B$8),MONTH('Loan Inputs'!$B$8)+A1768,DAY('Loan Inputs'!$B$8)),'Loan Inputs'!$B$8+A1768*IF('Loan Inputs'!$B$14=26,14,7)))</f>
        <v/>
      </c>
      <c r="C1768" s="2" t="str">
        <f t="shared" si="83"/>
        <v/>
      </c>
      <c r="D1768" s="2" t="str">
        <f>IF(A1768="","",MIN('Loan Inputs'!$B$17,C1768+E1768)+H1768)</f>
        <v/>
      </c>
      <c r="E1768" s="2" t="str">
        <f>IF(A1768="","",C1768*'Loan Inputs'!$B$15)</f>
        <v/>
      </c>
      <c r="F1768" s="2" t="str">
        <f t="shared" si="81"/>
        <v/>
      </c>
      <c r="G1768" s="2" t="str">
        <f t="shared" si="82"/>
        <v/>
      </c>
      <c r="H1768" s="2" t="str">
        <f>IF(A1768="","",MIN('Loan Inputs'!$B$18,MAX(0,C1768+E1768-'Loan Inputs'!$B$17)))</f>
        <v/>
      </c>
    </row>
    <row r="1769" spans="1:8" ht="22" customHeight="1">
      <c r="A1769" s="1" t="str">
        <f>IF(AND('Loan Inputs'!$B$12,1763&lt;=IF('Loan Inputs'!$B$12,'Loan Inputs'!$B$7,0)*'Loan Inputs'!$B$14+5*'Loan Inputs'!$B$14,ISNUMBER(G1768),G1768&gt;0),1763,"")</f>
        <v/>
      </c>
      <c r="B1769" s="4" t="str">
        <f>IF(A1769="","",IF('Loan Inputs'!$B$14=12,DATE(YEAR('Loan Inputs'!$B$8),MONTH('Loan Inputs'!$B$8)+A1769,DAY('Loan Inputs'!$B$8)),'Loan Inputs'!$B$8+A1769*IF('Loan Inputs'!$B$14=26,14,7)))</f>
        <v/>
      </c>
      <c r="C1769" s="2" t="str">
        <f t="shared" si="83"/>
        <v/>
      </c>
      <c r="D1769" s="2" t="str">
        <f>IF(A1769="","",MIN('Loan Inputs'!$B$17,C1769+E1769)+H1769)</f>
        <v/>
      </c>
      <c r="E1769" s="2" t="str">
        <f>IF(A1769="","",C1769*'Loan Inputs'!$B$15)</f>
        <v/>
      </c>
      <c r="F1769" s="2" t="str">
        <f t="shared" si="81"/>
        <v/>
      </c>
      <c r="G1769" s="2" t="str">
        <f t="shared" si="82"/>
        <v/>
      </c>
      <c r="H1769" s="2" t="str">
        <f>IF(A1769="","",MIN('Loan Inputs'!$B$18,MAX(0,C1769+E1769-'Loan Inputs'!$B$17)))</f>
        <v/>
      </c>
    </row>
    <row r="1770" spans="1:8" ht="22" customHeight="1">
      <c r="A1770" s="1" t="str">
        <f>IF(AND('Loan Inputs'!$B$12,1764&lt;=IF('Loan Inputs'!$B$12,'Loan Inputs'!$B$7,0)*'Loan Inputs'!$B$14+5*'Loan Inputs'!$B$14,ISNUMBER(G1769),G1769&gt;0),1764,"")</f>
        <v/>
      </c>
      <c r="B1770" s="4" t="str">
        <f>IF(A1770="","",IF('Loan Inputs'!$B$14=12,DATE(YEAR('Loan Inputs'!$B$8),MONTH('Loan Inputs'!$B$8)+A1770,DAY('Loan Inputs'!$B$8)),'Loan Inputs'!$B$8+A1770*IF('Loan Inputs'!$B$14=26,14,7)))</f>
        <v/>
      </c>
      <c r="C1770" s="2" t="str">
        <f t="shared" si="83"/>
        <v/>
      </c>
      <c r="D1770" s="2" t="str">
        <f>IF(A1770="","",MIN('Loan Inputs'!$B$17,C1770+E1770)+H1770)</f>
        <v/>
      </c>
      <c r="E1770" s="2" t="str">
        <f>IF(A1770="","",C1770*'Loan Inputs'!$B$15)</f>
        <v/>
      </c>
      <c r="F1770" s="2" t="str">
        <f t="shared" si="81"/>
        <v/>
      </c>
      <c r="G1770" s="2" t="str">
        <f t="shared" si="82"/>
        <v/>
      </c>
      <c r="H1770" s="2" t="str">
        <f>IF(A1770="","",MIN('Loan Inputs'!$B$18,MAX(0,C1770+E1770-'Loan Inputs'!$B$17)))</f>
        <v/>
      </c>
    </row>
    <row r="1771" spans="1:8" ht="22" customHeight="1">
      <c r="A1771" s="1" t="str">
        <f>IF(AND('Loan Inputs'!$B$12,1765&lt;=IF('Loan Inputs'!$B$12,'Loan Inputs'!$B$7,0)*'Loan Inputs'!$B$14+5*'Loan Inputs'!$B$14,ISNUMBER(G1770),G1770&gt;0),1765,"")</f>
        <v/>
      </c>
      <c r="B1771" s="4" t="str">
        <f>IF(A1771="","",IF('Loan Inputs'!$B$14=12,DATE(YEAR('Loan Inputs'!$B$8),MONTH('Loan Inputs'!$B$8)+A1771,DAY('Loan Inputs'!$B$8)),'Loan Inputs'!$B$8+A1771*IF('Loan Inputs'!$B$14=26,14,7)))</f>
        <v/>
      </c>
      <c r="C1771" s="2" t="str">
        <f t="shared" si="83"/>
        <v/>
      </c>
      <c r="D1771" s="2" t="str">
        <f>IF(A1771="","",MIN('Loan Inputs'!$B$17,C1771+E1771)+H1771)</f>
        <v/>
      </c>
      <c r="E1771" s="2" t="str">
        <f>IF(A1771="","",C1771*'Loan Inputs'!$B$15)</f>
        <v/>
      </c>
      <c r="F1771" s="2" t="str">
        <f t="shared" si="81"/>
        <v/>
      </c>
      <c r="G1771" s="2" t="str">
        <f t="shared" si="82"/>
        <v/>
      </c>
      <c r="H1771" s="2" t="str">
        <f>IF(A1771="","",MIN('Loan Inputs'!$B$18,MAX(0,C1771+E1771-'Loan Inputs'!$B$17)))</f>
        <v/>
      </c>
    </row>
    <row r="1772" spans="1:8" ht="22" customHeight="1">
      <c r="A1772" s="1" t="str">
        <f>IF(AND('Loan Inputs'!$B$12,1766&lt;=IF('Loan Inputs'!$B$12,'Loan Inputs'!$B$7,0)*'Loan Inputs'!$B$14+5*'Loan Inputs'!$B$14,ISNUMBER(G1771),G1771&gt;0),1766,"")</f>
        <v/>
      </c>
      <c r="B1772" s="4" t="str">
        <f>IF(A1772="","",IF('Loan Inputs'!$B$14=12,DATE(YEAR('Loan Inputs'!$B$8),MONTH('Loan Inputs'!$B$8)+A1772,DAY('Loan Inputs'!$B$8)),'Loan Inputs'!$B$8+A1772*IF('Loan Inputs'!$B$14=26,14,7)))</f>
        <v/>
      </c>
      <c r="C1772" s="2" t="str">
        <f t="shared" si="83"/>
        <v/>
      </c>
      <c r="D1772" s="2" t="str">
        <f>IF(A1772="","",MIN('Loan Inputs'!$B$17,C1772+E1772)+H1772)</f>
        <v/>
      </c>
      <c r="E1772" s="2" t="str">
        <f>IF(A1772="","",C1772*'Loan Inputs'!$B$15)</f>
        <v/>
      </c>
      <c r="F1772" s="2" t="str">
        <f t="shared" si="81"/>
        <v/>
      </c>
      <c r="G1772" s="2" t="str">
        <f t="shared" si="82"/>
        <v/>
      </c>
      <c r="H1772" s="2" t="str">
        <f>IF(A1772="","",MIN('Loan Inputs'!$B$18,MAX(0,C1772+E1772-'Loan Inputs'!$B$17)))</f>
        <v/>
      </c>
    </row>
    <row r="1773" spans="1:8" ht="22" customHeight="1">
      <c r="A1773" s="1" t="str">
        <f>IF(AND('Loan Inputs'!$B$12,1767&lt;=IF('Loan Inputs'!$B$12,'Loan Inputs'!$B$7,0)*'Loan Inputs'!$B$14+5*'Loan Inputs'!$B$14,ISNUMBER(G1772),G1772&gt;0),1767,"")</f>
        <v/>
      </c>
      <c r="B1773" s="4" t="str">
        <f>IF(A1773="","",IF('Loan Inputs'!$B$14=12,DATE(YEAR('Loan Inputs'!$B$8),MONTH('Loan Inputs'!$B$8)+A1773,DAY('Loan Inputs'!$B$8)),'Loan Inputs'!$B$8+A1773*IF('Loan Inputs'!$B$14=26,14,7)))</f>
        <v/>
      </c>
      <c r="C1773" s="2" t="str">
        <f t="shared" si="83"/>
        <v/>
      </c>
      <c r="D1773" s="2" t="str">
        <f>IF(A1773="","",MIN('Loan Inputs'!$B$17,C1773+E1773)+H1773)</f>
        <v/>
      </c>
      <c r="E1773" s="2" t="str">
        <f>IF(A1773="","",C1773*'Loan Inputs'!$B$15)</f>
        <v/>
      </c>
      <c r="F1773" s="2" t="str">
        <f t="shared" si="81"/>
        <v/>
      </c>
      <c r="G1773" s="2" t="str">
        <f t="shared" si="82"/>
        <v/>
      </c>
      <c r="H1773" s="2" t="str">
        <f>IF(A1773="","",MIN('Loan Inputs'!$B$18,MAX(0,C1773+E1773-'Loan Inputs'!$B$17)))</f>
        <v/>
      </c>
    </row>
    <row r="1774" spans="1:8" ht="22" customHeight="1">
      <c r="A1774" s="1" t="str">
        <f>IF(AND('Loan Inputs'!$B$12,1768&lt;=IF('Loan Inputs'!$B$12,'Loan Inputs'!$B$7,0)*'Loan Inputs'!$B$14+5*'Loan Inputs'!$B$14,ISNUMBER(G1773),G1773&gt;0),1768,"")</f>
        <v/>
      </c>
      <c r="B1774" s="4" t="str">
        <f>IF(A1774="","",IF('Loan Inputs'!$B$14=12,DATE(YEAR('Loan Inputs'!$B$8),MONTH('Loan Inputs'!$B$8)+A1774,DAY('Loan Inputs'!$B$8)),'Loan Inputs'!$B$8+A1774*IF('Loan Inputs'!$B$14=26,14,7)))</f>
        <v/>
      </c>
      <c r="C1774" s="2" t="str">
        <f t="shared" si="83"/>
        <v/>
      </c>
      <c r="D1774" s="2" t="str">
        <f>IF(A1774="","",MIN('Loan Inputs'!$B$17,C1774+E1774)+H1774)</f>
        <v/>
      </c>
      <c r="E1774" s="2" t="str">
        <f>IF(A1774="","",C1774*'Loan Inputs'!$B$15)</f>
        <v/>
      </c>
      <c r="F1774" s="2" t="str">
        <f t="shared" si="81"/>
        <v/>
      </c>
      <c r="G1774" s="2" t="str">
        <f t="shared" si="82"/>
        <v/>
      </c>
      <c r="H1774" s="2" t="str">
        <f>IF(A1774="","",MIN('Loan Inputs'!$B$18,MAX(0,C1774+E1774-'Loan Inputs'!$B$17)))</f>
        <v/>
      </c>
    </row>
    <row r="1775" spans="1:8" ht="22" customHeight="1">
      <c r="A1775" s="1" t="str">
        <f>IF(AND('Loan Inputs'!$B$12,1769&lt;=IF('Loan Inputs'!$B$12,'Loan Inputs'!$B$7,0)*'Loan Inputs'!$B$14+5*'Loan Inputs'!$B$14,ISNUMBER(G1774),G1774&gt;0),1769,"")</f>
        <v/>
      </c>
      <c r="B1775" s="4" t="str">
        <f>IF(A1775="","",IF('Loan Inputs'!$B$14=12,DATE(YEAR('Loan Inputs'!$B$8),MONTH('Loan Inputs'!$B$8)+A1775,DAY('Loan Inputs'!$B$8)),'Loan Inputs'!$B$8+A1775*IF('Loan Inputs'!$B$14=26,14,7)))</f>
        <v/>
      </c>
      <c r="C1775" s="2" t="str">
        <f t="shared" si="83"/>
        <v/>
      </c>
      <c r="D1775" s="2" t="str">
        <f>IF(A1775="","",MIN('Loan Inputs'!$B$17,C1775+E1775)+H1775)</f>
        <v/>
      </c>
      <c r="E1775" s="2" t="str">
        <f>IF(A1775="","",C1775*'Loan Inputs'!$B$15)</f>
        <v/>
      </c>
      <c r="F1775" s="2" t="str">
        <f t="shared" si="81"/>
        <v/>
      </c>
      <c r="G1775" s="2" t="str">
        <f t="shared" si="82"/>
        <v/>
      </c>
      <c r="H1775" s="2" t="str">
        <f>IF(A1775="","",MIN('Loan Inputs'!$B$18,MAX(0,C1775+E1775-'Loan Inputs'!$B$17)))</f>
        <v/>
      </c>
    </row>
    <row r="1776" spans="1:8" ht="22" customHeight="1">
      <c r="A1776" s="1" t="str">
        <f>IF(AND('Loan Inputs'!$B$12,1770&lt;=IF('Loan Inputs'!$B$12,'Loan Inputs'!$B$7,0)*'Loan Inputs'!$B$14+5*'Loan Inputs'!$B$14,ISNUMBER(G1775),G1775&gt;0),1770,"")</f>
        <v/>
      </c>
      <c r="B1776" s="4" t="str">
        <f>IF(A1776="","",IF('Loan Inputs'!$B$14=12,DATE(YEAR('Loan Inputs'!$B$8),MONTH('Loan Inputs'!$B$8)+A1776,DAY('Loan Inputs'!$B$8)),'Loan Inputs'!$B$8+A1776*IF('Loan Inputs'!$B$14=26,14,7)))</f>
        <v/>
      </c>
      <c r="C1776" s="2" t="str">
        <f t="shared" si="83"/>
        <v/>
      </c>
      <c r="D1776" s="2" t="str">
        <f>IF(A1776="","",MIN('Loan Inputs'!$B$17,C1776+E1776)+H1776)</f>
        <v/>
      </c>
      <c r="E1776" s="2" t="str">
        <f>IF(A1776="","",C1776*'Loan Inputs'!$B$15)</f>
        <v/>
      </c>
      <c r="F1776" s="2" t="str">
        <f t="shared" si="81"/>
        <v/>
      </c>
      <c r="G1776" s="2" t="str">
        <f t="shared" si="82"/>
        <v/>
      </c>
      <c r="H1776" s="2" t="str">
        <f>IF(A1776="","",MIN('Loan Inputs'!$B$18,MAX(0,C1776+E1776-'Loan Inputs'!$B$17)))</f>
        <v/>
      </c>
    </row>
    <row r="1777" spans="1:8" ht="22" customHeight="1">
      <c r="A1777" s="1" t="str">
        <f>IF(AND('Loan Inputs'!$B$12,1771&lt;=IF('Loan Inputs'!$B$12,'Loan Inputs'!$B$7,0)*'Loan Inputs'!$B$14+5*'Loan Inputs'!$B$14,ISNUMBER(G1776),G1776&gt;0),1771,"")</f>
        <v/>
      </c>
      <c r="B1777" s="4" t="str">
        <f>IF(A1777="","",IF('Loan Inputs'!$B$14=12,DATE(YEAR('Loan Inputs'!$B$8),MONTH('Loan Inputs'!$B$8)+A1777,DAY('Loan Inputs'!$B$8)),'Loan Inputs'!$B$8+A1777*IF('Loan Inputs'!$B$14=26,14,7)))</f>
        <v/>
      </c>
      <c r="C1777" s="2" t="str">
        <f t="shared" si="83"/>
        <v/>
      </c>
      <c r="D1777" s="2" t="str">
        <f>IF(A1777="","",MIN('Loan Inputs'!$B$17,C1777+E1777)+H1777)</f>
        <v/>
      </c>
      <c r="E1777" s="2" t="str">
        <f>IF(A1777="","",C1777*'Loan Inputs'!$B$15)</f>
        <v/>
      </c>
      <c r="F1777" s="2" t="str">
        <f t="shared" si="81"/>
        <v/>
      </c>
      <c r="G1777" s="2" t="str">
        <f t="shared" si="82"/>
        <v/>
      </c>
      <c r="H1777" s="2" t="str">
        <f>IF(A1777="","",MIN('Loan Inputs'!$B$18,MAX(0,C1777+E1777-'Loan Inputs'!$B$17)))</f>
        <v/>
      </c>
    </row>
    <row r="1778" spans="1:8" ht="22" customHeight="1">
      <c r="A1778" s="1" t="str">
        <f>IF(AND('Loan Inputs'!$B$12,1772&lt;=IF('Loan Inputs'!$B$12,'Loan Inputs'!$B$7,0)*'Loan Inputs'!$B$14+5*'Loan Inputs'!$B$14,ISNUMBER(G1777),G1777&gt;0),1772,"")</f>
        <v/>
      </c>
      <c r="B1778" s="4" t="str">
        <f>IF(A1778="","",IF('Loan Inputs'!$B$14=12,DATE(YEAR('Loan Inputs'!$B$8),MONTH('Loan Inputs'!$B$8)+A1778,DAY('Loan Inputs'!$B$8)),'Loan Inputs'!$B$8+A1778*IF('Loan Inputs'!$B$14=26,14,7)))</f>
        <v/>
      </c>
      <c r="C1778" s="2" t="str">
        <f t="shared" si="83"/>
        <v/>
      </c>
      <c r="D1778" s="2" t="str">
        <f>IF(A1778="","",MIN('Loan Inputs'!$B$17,C1778+E1778)+H1778)</f>
        <v/>
      </c>
      <c r="E1778" s="2" t="str">
        <f>IF(A1778="","",C1778*'Loan Inputs'!$B$15)</f>
        <v/>
      </c>
      <c r="F1778" s="2" t="str">
        <f t="shared" si="81"/>
        <v/>
      </c>
      <c r="G1778" s="2" t="str">
        <f t="shared" si="82"/>
        <v/>
      </c>
      <c r="H1778" s="2" t="str">
        <f>IF(A1778="","",MIN('Loan Inputs'!$B$18,MAX(0,C1778+E1778-'Loan Inputs'!$B$17)))</f>
        <v/>
      </c>
    </row>
    <row r="1779" spans="1:8" ht="22" customHeight="1">
      <c r="A1779" s="1" t="str">
        <f>IF(AND('Loan Inputs'!$B$12,1773&lt;=IF('Loan Inputs'!$B$12,'Loan Inputs'!$B$7,0)*'Loan Inputs'!$B$14+5*'Loan Inputs'!$B$14,ISNUMBER(G1778),G1778&gt;0),1773,"")</f>
        <v/>
      </c>
      <c r="B1779" s="4" t="str">
        <f>IF(A1779="","",IF('Loan Inputs'!$B$14=12,DATE(YEAR('Loan Inputs'!$B$8),MONTH('Loan Inputs'!$B$8)+A1779,DAY('Loan Inputs'!$B$8)),'Loan Inputs'!$B$8+A1779*IF('Loan Inputs'!$B$14=26,14,7)))</f>
        <v/>
      </c>
      <c r="C1779" s="2" t="str">
        <f t="shared" si="83"/>
        <v/>
      </c>
      <c r="D1779" s="2" t="str">
        <f>IF(A1779="","",MIN('Loan Inputs'!$B$17,C1779+E1779)+H1779)</f>
        <v/>
      </c>
      <c r="E1779" s="2" t="str">
        <f>IF(A1779="","",C1779*'Loan Inputs'!$B$15)</f>
        <v/>
      </c>
      <c r="F1779" s="2" t="str">
        <f t="shared" si="81"/>
        <v/>
      </c>
      <c r="G1779" s="2" t="str">
        <f t="shared" si="82"/>
        <v/>
      </c>
      <c r="H1779" s="2" t="str">
        <f>IF(A1779="","",MIN('Loan Inputs'!$B$18,MAX(0,C1779+E1779-'Loan Inputs'!$B$17)))</f>
        <v/>
      </c>
    </row>
    <row r="1780" spans="1:8" ht="22" customHeight="1">
      <c r="A1780" s="1" t="str">
        <f>IF(AND('Loan Inputs'!$B$12,1774&lt;=IF('Loan Inputs'!$B$12,'Loan Inputs'!$B$7,0)*'Loan Inputs'!$B$14+5*'Loan Inputs'!$B$14,ISNUMBER(G1779),G1779&gt;0),1774,"")</f>
        <v/>
      </c>
      <c r="B1780" s="4" t="str">
        <f>IF(A1780="","",IF('Loan Inputs'!$B$14=12,DATE(YEAR('Loan Inputs'!$B$8),MONTH('Loan Inputs'!$B$8)+A1780,DAY('Loan Inputs'!$B$8)),'Loan Inputs'!$B$8+A1780*IF('Loan Inputs'!$B$14=26,14,7)))</f>
        <v/>
      </c>
      <c r="C1780" s="2" t="str">
        <f t="shared" si="83"/>
        <v/>
      </c>
      <c r="D1780" s="2" t="str">
        <f>IF(A1780="","",MIN('Loan Inputs'!$B$17,C1780+E1780)+H1780)</f>
        <v/>
      </c>
      <c r="E1780" s="2" t="str">
        <f>IF(A1780="","",C1780*'Loan Inputs'!$B$15)</f>
        <v/>
      </c>
      <c r="F1780" s="2" t="str">
        <f t="shared" si="81"/>
        <v/>
      </c>
      <c r="G1780" s="2" t="str">
        <f t="shared" si="82"/>
        <v/>
      </c>
      <c r="H1780" s="2" t="str">
        <f>IF(A1780="","",MIN('Loan Inputs'!$B$18,MAX(0,C1780+E1780-'Loan Inputs'!$B$17)))</f>
        <v/>
      </c>
    </row>
    <row r="1781" spans="1:8" ht="22" customHeight="1">
      <c r="A1781" s="1" t="str">
        <f>IF(AND('Loan Inputs'!$B$12,1775&lt;=IF('Loan Inputs'!$B$12,'Loan Inputs'!$B$7,0)*'Loan Inputs'!$B$14+5*'Loan Inputs'!$B$14,ISNUMBER(G1780),G1780&gt;0),1775,"")</f>
        <v/>
      </c>
      <c r="B1781" s="4" t="str">
        <f>IF(A1781="","",IF('Loan Inputs'!$B$14=12,DATE(YEAR('Loan Inputs'!$B$8),MONTH('Loan Inputs'!$B$8)+A1781,DAY('Loan Inputs'!$B$8)),'Loan Inputs'!$B$8+A1781*IF('Loan Inputs'!$B$14=26,14,7)))</f>
        <v/>
      </c>
      <c r="C1781" s="2" t="str">
        <f t="shared" si="83"/>
        <v/>
      </c>
      <c r="D1781" s="2" t="str">
        <f>IF(A1781="","",MIN('Loan Inputs'!$B$17,C1781+E1781)+H1781)</f>
        <v/>
      </c>
      <c r="E1781" s="2" t="str">
        <f>IF(A1781="","",C1781*'Loan Inputs'!$B$15)</f>
        <v/>
      </c>
      <c r="F1781" s="2" t="str">
        <f t="shared" si="81"/>
        <v/>
      </c>
      <c r="G1781" s="2" t="str">
        <f t="shared" si="82"/>
        <v/>
      </c>
      <c r="H1781" s="2" t="str">
        <f>IF(A1781="","",MIN('Loan Inputs'!$B$18,MAX(0,C1781+E1781-'Loan Inputs'!$B$17)))</f>
        <v/>
      </c>
    </row>
    <row r="1782" spans="1:8" ht="22" customHeight="1">
      <c r="A1782" s="1" t="str">
        <f>IF(AND('Loan Inputs'!$B$12,1776&lt;=IF('Loan Inputs'!$B$12,'Loan Inputs'!$B$7,0)*'Loan Inputs'!$B$14+5*'Loan Inputs'!$B$14,ISNUMBER(G1781),G1781&gt;0),1776,"")</f>
        <v/>
      </c>
      <c r="B1782" s="4" t="str">
        <f>IF(A1782="","",IF('Loan Inputs'!$B$14=12,DATE(YEAR('Loan Inputs'!$B$8),MONTH('Loan Inputs'!$B$8)+A1782,DAY('Loan Inputs'!$B$8)),'Loan Inputs'!$B$8+A1782*IF('Loan Inputs'!$B$14=26,14,7)))</f>
        <v/>
      </c>
      <c r="C1782" s="2" t="str">
        <f t="shared" si="83"/>
        <v/>
      </c>
      <c r="D1782" s="2" t="str">
        <f>IF(A1782="","",MIN('Loan Inputs'!$B$17,C1782+E1782)+H1782)</f>
        <v/>
      </c>
      <c r="E1782" s="2" t="str">
        <f>IF(A1782="","",C1782*'Loan Inputs'!$B$15)</f>
        <v/>
      </c>
      <c r="F1782" s="2" t="str">
        <f t="shared" si="81"/>
        <v/>
      </c>
      <c r="G1782" s="2" t="str">
        <f t="shared" si="82"/>
        <v/>
      </c>
      <c r="H1782" s="2" t="str">
        <f>IF(A1782="","",MIN('Loan Inputs'!$B$18,MAX(0,C1782+E1782-'Loan Inputs'!$B$17)))</f>
        <v/>
      </c>
    </row>
    <row r="1783" spans="1:8" ht="22" customHeight="1">
      <c r="A1783" s="1" t="str">
        <f>IF(AND('Loan Inputs'!$B$12,1777&lt;=IF('Loan Inputs'!$B$12,'Loan Inputs'!$B$7,0)*'Loan Inputs'!$B$14+5*'Loan Inputs'!$B$14,ISNUMBER(G1782),G1782&gt;0),1777,"")</f>
        <v/>
      </c>
      <c r="B1783" s="4" t="str">
        <f>IF(A1783="","",IF('Loan Inputs'!$B$14=12,DATE(YEAR('Loan Inputs'!$B$8),MONTH('Loan Inputs'!$B$8)+A1783,DAY('Loan Inputs'!$B$8)),'Loan Inputs'!$B$8+A1783*IF('Loan Inputs'!$B$14=26,14,7)))</f>
        <v/>
      </c>
      <c r="C1783" s="2" t="str">
        <f t="shared" si="83"/>
        <v/>
      </c>
      <c r="D1783" s="2" t="str">
        <f>IF(A1783="","",MIN('Loan Inputs'!$B$17,C1783+E1783)+H1783)</f>
        <v/>
      </c>
      <c r="E1783" s="2" t="str">
        <f>IF(A1783="","",C1783*'Loan Inputs'!$B$15)</f>
        <v/>
      </c>
      <c r="F1783" s="2" t="str">
        <f t="shared" si="81"/>
        <v/>
      </c>
      <c r="G1783" s="2" t="str">
        <f t="shared" si="82"/>
        <v/>
      </c>
      <c r="H1783" s="2" t="str">
        <f>IF(A1783="","",MIN('Loan Inputs'!$B$18,MAX(0,C1783+E1783-'Loan Inputs'!$B$17)))</f>
        <v/>
      </c>
    </row>
    <row r="1784" spans="1:8" ht="22" customHeight="1">
      <c r="A1784" s="1" t="str">
        <f>IF(AND('Loan Inputs'!$B$12,1778&lt;=IF('Loan Inputs'!$B$12,'Loan Inputs'!$B$7,0)*'Loan Inputs'!$B$14+5*'Loan Inputs'!$B$14,ISNUMBER(G1783),G1783&gt;0),1778,"")</f>
        <v/>
      </c>
      <c r="B1784" s="4" t="str">
        <f>IF(A1784="","",IF('Loan Inputs'!$B$14=12,DATE(YEAR('Loan Inputs'!$B$8),MONTH('Loan Inputs'!$B$8)+A1784,DAY('Loan Inputs'!$B$8)),'Loan Inputs'!$B$8+A1784*IF('Loan Inputs'!$B$14=26,14,7)))</f>
        <v/>
      </c>
      <c r="C1784" s="2" t="str">
        <f t="shared" si="83"/>
        <v/>
      </c>
      <c r="D1784" s="2" t="str">
        <f>IF(A1784="","",MIN('Loan Inputs'!$B$17,C1784+E1784)+H1784)</f>
        <v/>
      </c>
      <c r="E1784" s="2" t="str">
        <f>IF(A1784="","",C1784*'Loan Inputs'!$B$15)</f>
        <v/>
      </c>
      <c r="F1784" s="2" t="str">
        <f t="shared" si="81"/>
        <v/>
      </c>
      <c r="G1784" s="2" t="str">
        <f t="shared" si="82"/>
        <v/>
      </c>
      <c r="H1784" s="2" t="str">
        <f>IF(A1784="","",MIN('Loan Inputs'!$B$18,MAX(0,C1784+E1784-'Loan Inputs'!$B$17)))</f>
        <v/>
      </c>
    </row>
    <row r="1785" spans="1:8" ht="22" customHeight="1">
      <c r="A1785" s="1" t="str">
        <f>IF(AND('Loan Inputs'!$B$12,1779&lt;=IF('Loan Inputs'!$B$12,'Loan Inputs'!$B$7,0)*'Loan Inputs'!$B$14+5*'Loan Inputs'!$B$14,ISNUMBER(G1784),G1784&gt;0),1779,"")</f>
        <v/>
      </c>
      <c r="B1785" s="4" t="str">
        <f>IF(A1785="","",IF('Loan Inputs'!$B$14=12,DATE(YEAR('Loan Inputs'!$B$8),MONTH('Loan Inputs'!$B$8)+A1785,DAY('Loan Inputs'!$B$8)),'Loan Inputs'!$B$8+A1785*IF('Loan Inputs'!$B$14=26,14,7)))</f>
        <v/>
      </c>
      <c r="C1785" s="2" t="str">
        <f t="shared" si="83"/>
        <v/>
      </c>
      <c r="D1785" s="2" t="str">
        <f>IF(A1785="","",MIN('Loan Inputs'!$B$17,C1785+E1785)+H1785)</f>
        <v/>
      </c>
      <c r="E1785" s="2" t="str">
        <f>IF(A1785="","",C1785*'Loan Inputs'!$B$15)</f>
        <v/>
      </c>
      <c r="F1785" s="2" t="str">
        <f t="shared" si="81"/>
        <v/>
      </c>
      <c r="G1785" s="2" t="str">
        <f t="shared" si="82"/>
        <v/>
      </c>
      <c r="H1785" s="2" t="str">
        <f>IF(A1785="","",MIN('Loan Inputs'!$B$18,MAX(0,C1785+E1785-'Loan Inputs'!$B$17)))</f>
        <v/>
      </c>
    </row>
    <row r="1786" spans="1:8" ht="22" customHeight="1">
      <c r="A1786" s="1" t="str">
        <f>IF(AND('Loan Inputs'!$B$12,1780&lt;=IF('Loan Inputs'!$B$12,'Loan Inputs'!$B$7,0)*'Loan Inputs'!$B$14+5*'Loan Inputs'!$B$14,ISNUMBER(G1785),G1785&gt;0),1780,"")</f>
        <v/>
      </c>
      <c r="B1786" s="4" t="str">
        <f>IF(A1786="","",IF('Loan Inputs'!$B$14=12,DATE(YEAR('Loan Inputs'!$B$8),MONTH('Loan Inputs'!$B$8)+A1786,DAY('Loan Inputs'!$B$8)),'Loan Inputs'!$B$8+A1786*IF('Loan Inputs'!$B$14=26,14,7)))</f>
        <v/>
      </c>
      <c r="C1786" s="2" t="str">
        <f t="shared" si="83"/>
        <v/>
      </c>
      <c r="D1786" s="2" t="str">
        <f>IF(A1786="","",MIN('Loan Inputs'!$B$17,C1786+E1786)+H1786)</f>
        <v/>
      </c>
      <c r="E1786" s="2" t="str">
        <f>IF(A1786="","",C1786*'Loan Inputs'!$B$15)</f>
        <v/>
      </c>
      <c r="F1786" s="2" t="str">
        <f t="shared" si="81"/>
        <v/>
      </c>
      <c r="G1786" s="2" t="str">
        <f t="shared" si="82"/>
        <v/>
      </c>
      <c r="H1786" s="2" t="str">
        <f>IF(A1786="","",MIN('Loan Inputs'!$B$18,MAX(0,C1786+E1786-'Loan Inputs'!$B$17)))</f>
        <v/>
      </c>
    </row>
    <row r="1787" spans="1:8" ht="22" customHeight="1">
      <c r="A1787" s="1" t="str">
        <f>IF(AND('Loan Inputs'!$B$12,1781&lt;=IF('Loan Inputs'!$B$12,'Loan Inputs'!$B$7,0)*'Loan Inputs'!$B$14+5*'Loan Inputs'!$B$14,ISNUMBER(G1786),G1786&gt;0),1781,"")</f>
        <v/>
      </c>
      <c r="B1787" s="4" t="str">
        <f>IF(A1787="","",IF('Loan Inputs'!$B$14=12,DATE(YEAR('Loan Inputs'!$B$8),MONTH('Loan Inputs'!$B$8)+A1787,DAY('Loan Inputs'!$B$8)),'Loan Inputs'!$B$8+A1787*IF('Loan Inputs'!$B$14=26,14,7)))</f>
        <v/>
      </c>
      <c r="C1787" s="2" t="str">
        <f t="shared" si="83"/>
        <v/>
      </c>
      <c r="D1787" s="2" t="str">
        <f>IF(A1787="","",MIN('Loan Inputs'!$B$17,C1787+E1787)+H1787)</f>
        <v/>
      </c>
      <c r="E1787" s="2" t="str">
        <f>IF(A1787="","",C1787*'Loan Inputs'!$B$15)</f>
        <v/>
      </c>
      <c r="F1787" s="2" t="str">
        <f t="shared" si="81"/>
        <v/>
      </c>
      <c r="G1787" s="2" t="str">
        <f t="shared" si="82"/>
        <v/>
      </c>
      <c r="H1787" s="2" t="str">
        <f>IF(A1787="","",MIN('Loan Inputs'!$B$18,MAX(0,C1787+E1787-'Loan Inputs'!$B$17)))</f>
        <v/>
      </c>
    </row>
    <row r="1788" spans="1:8" ht="22" customHeight="1">
      <c r="A1788" s="1" t="str">
        <f>IF(AND('Loan Inputs'!$B$12,1782&lt;=IF('Loan Inputs'!$B$12,'Loan Inputs'!$B$7,0)*'Loan Inputs'!$B$14+5*'Loan Inputs'!$B$14,ISNUMBER(G1787),G1787&gt;0),1782,"")</f>
        <v/>
      </c>
      <c r="B1788" s="4" t="str">
        <f>IF(A1788="","",IF('Loan Inputs'!$B$14=12,DATE(YEAR('Loan Inputs'!$B$8),MONTH('Loan Inputs'!$B$8)+A1788,DAY('Loan Inputs'!$B$8)),'Loan Inputs'!$B$8+A1788*IF('Loan Inputs'!$B$14=26,14,7)))</f>
        <v/>
      </c>
      <c r="C1788" s="2" t="str">
        <f t="shared" si="83"/>
        <v/>
      </c>
      <c r="D1788" s="2" t="str">
        <f>IF(A1788="","",MIN('Loan Inputs'!$B$17,C1788+E1788)+H1788)</f>
        <v/>
      </c>
      <c r="E1788" s="2" t="str">
        <f>IF(A1788="","",C1788*'Loan Inputs'!$B$15)</f>
        <v/>
      </c>
      <c r="F1788" s="2" t="str">
        <f t="shared" si="81"/>
        <v/>
      </c>
      <c r="G1788" s="2" t="str">
        <f t="shared" si="82"/>
        <v/>
      </c>
      <c r="H1788" s="2" t="str">
        <f>IF(A1788="","",MIN('Loan Inputs'!$B$18,MAX(0,C1788+E1788-'Loan Inputs'!$B$17)))</f>
        <v/>
      </c>
    </row>
    <row r="1789" spans="1:8" ht="22" customHeight="1">
      <c r="A1789" s="1" t="str">
        <f>IF(AND('Loan Inputs'!$B$12,1783&lt;=IF('Loan Inputs'!$B$12,'Loan Inputs'!$B$7,0)*'Loan Inputs'!$B$14+5*'Loan Inputs'!$B$14,ISNUMBER(G1788),G1788&gt;0),1783,"")</f>
        <v/>
      </c>
      <c r="B1789" s="4" t="str">
        <f>IF(A1789="","",IF('Loan Inputs'!$B$14=12,DATE(YEAR('Loan Inputs'!$B$8),MONTH('Loan Inputs'!$B$8)+A1789,DAY('Loan Inputs'!$B$8)),'Loan Inputs'!$B$8+A1789*IF('Loan Inputs'!$B$14=26,14,7)))</f>
        <v/>
      </c>
      <c r="C1789" s="2" t="str">
        <f t="shared" si="83"/>
        <v/>
      </c>
      <c r="D1789" s="2" t="str">
        <f>IF(A1789="","",MIN('Loan Inputs'!$B$17,C1789+E1789)+H1789)</f>
        <v/>
      </c>
      <c r="E1789" s="2" t="str">
        <f>IF(A1789="","",C1789*'Loan Inputs'!$B$15)</f>
        <v/>
      </c>
      <c r="F1789" s="2" t="str">
        <f t="shared" si="81"/>
        <v/>
      </c>
      <c r="G1789" s="2" t="str">
        <f t="shared" si="82"/>
        <v/>
      </c>
      <c r="H1789" s="2" t="str">
        <f>IF(A1789="","",MIN('Loan Inputs'!$B$18,MAX(0,C1789+E1789-'Loan Inputs'!$B$17)))</f>
        <v/>
      </c>
    </row>
    <row r="1790" spans="1:8" ht="22" customHeight="1">
      <c r="A1790" s="1" t="str">
        <f>IF(AND('Loan Inputs'!$B$12,1784&lt;=IF('Loan Inputs'!$B$12,'Loan Inputs'!$B$7,0)*'Loan Inputs'!$B$14+5*'Loan Inputs'!$B$14,ISNUMBER(G1789),G1789&gt;0),1784,"")</f>
        <v/>
      </c>
      <c r="B1790" s="4" t="str">
        <f>IF(A1790="","",IF('Loan Inputs'!$B$14=12,DATE(YEAR('Loan Inputs'!$B$8),MONTH('Loan Inputs'!$B$8)+A1790,DAY('Loan Inputs'!$B$8)),'Loan Inputs'!$B$8+A1790*IF('Loan Inputs'!$B$14=26,14,7)))</f>
        <v/>
      </c>
      <c r="C1790" s="2" t="str">
        <f t="shared" si="83"/>
        <v/>
      </c>
      <c r="D1790" s="2" t="str">
        <f>IF(A1790="","",MIN('Loan Inputs'!$B$17,C1790+E1790)+H1790)</f>
        <v/>
      </c>
      <c r="E1790" s="2" t="str">
        <f>IF(A1790="","",C1790*'Loan Inputs'!$B$15)</f>
        <v/>
      </c>
      <c r="F1790" s="2" t="str">
        <f t="shared" si="81"/>
        <v/>
      </c>
      <c r="G1790" s="2" t="str">
        <f t="shared" si="82"/>
        <v/>
      </c>
      <c r="H1790" s="2" t="str">
        <f>IF(A1790="","",MIN('Loan Inputs'!$B$18,MAX(0,C1790+E1790-'Loan Inputs'!$B$17)))</f>
        <v/>
      </c>
    </row>
    <row r="1791" spans="1:8" ht="22" customHeight="1">
      <c r="A1791" s="1" t="str">
        <f>IF(AND('Loan Inputs'!$B$12,1785&lt;=IF('Loan Inputs'!$B$12,'Loan Inputs'!$B$7,0)*'Loan Inputs'!$B$14+5*'Loan Inputs'!$B$14,ISNUMBER(G1790),G1790&gt;0),1785,"")</f>
        <v/>
      </c>
      <c r="B1791" s="4" t="str">
        <f>IF(A1791="","",IF('Loan Inputs'!$B$14=12,DATE(YEAR('Loan Inputs'!$B$8),MONTH('Loan Inputs'!$B$8)+A1791,DAY('Loan Inputs'!$B$8)),'Loan Inputs'!$B$8+A1791*IF('Loan Inputs'!$B$14=26,14,7)))</f>
        <v/>
      </c>
      <c r="C1791" s="2" t="str">
        <f t="shared" si="83"/>
        <v/>
      </c>
      <c r="D1791" s="2" t="str">
        <f>IF(A1791="","",MIN('Loan Inputs'!$B$17,C1791+E1791)+H1791)</f>
        <v/>
      </c>
      <c r="E1791" s="2" t="str">
        <f>IF(A1791="","",C1791*'Loan Inputs'!$B$15)</f>
        <v/>
      </c>
      <c r="F1791" s="2" t="str">
        <f t="shared" si="81"/>
        <v/>
      </c>
      <c r="G1791" s="2" t="str">
        <f t="shared" si="82"/>
        <v/>
      </c>
      <c r="H1791" s="2" t="str">
        <f>IF(A1791="","",MIN('Loan Inputs'!$B$18,MAX(0,C1791+E1791-'Loan Inputs'!$B$17)))</f>
        <v/>
      </c>
    </row>
    <row r="1792" spans="1:8" ht="22" customHeight="1">
      <c r="A1792" s="1" t="str">
        <f>IF(AND('Loan Inputs'!$B$12,1786&lt;=IF('Loan Inputs'!$B$12,'Loan Inputs'!$B$7,0)*'Loan Inputs'!$B$14+5*'Loan Inputs'!$B$14,ISNUMBER(G1791),G1791&gt;0),1786,"")</f>
        <v/>
      </c>
      <c r="B1792" s="4" t="str">
        <f>IF(A1792="","",IF('Loan Inputs'!$B$14=12,DATE(YEAR('Loan Inputs'!$B$8),MONTH('Loan Inputs'!$B$8)+A1792,DAY('Loan Inputs'!$B$8)),'Loan Inputs'!$B$8+A1792*IF('Loan Inputs'!$B$14=26,14,7)))</f>
        <v/>
      </c>
      <c r="C1792" s="2" t="str">
        <f t="shared" si="83"/>
        <v/>
      </c>
      <c r="D1792" s="2" t="str">
        <f>IF(A1792="","",MIN('Loan Inputs'!$B$17,C1792+E1792)+H1792)</f>
        <v/>
      </c>
      <c r="E1792" s="2" t="str">
        <f>IF(A1792="","",C1792*'Loan Inputs'!$B$15)</f>
        <v/>
      </c>
      <c r="F1792" s="2" t="str">
        <f t="shared" si="81"/>
        <v/>
      </c>
      <c r="G1792" s="2" t="str">
        <f t="shared" si="82"/>
        <v/>
      </c>
      <c r="H1792" s="2" t="str">
        <f>IF(A1792="","",MIN('Loan Inputs'!$B$18,MAX(0,C1792+E1792-'Loan Inputs'!$B$17)))</f>
        <v/>
      </c>
    </row>
    <row r="1793" spans="1:8" ht="22" customHeight="1">
      <c r="A1793" s="1" t="str">
        <f>IF(AND('Loan Inputs'!$B$12,1787&lt;=IF('Loan Inputs'!$B$12,'Loan Inputs'!$B$7,0)*'Loan Inputs'!$B$14+5*'Loan Inputs'!$B$14,ISNUMBER(G1792),G1792&gt;0),1787,"")</f>
        <v/>
      </c>
      <c r="B1793" s="4" t="str">
        <f>IF(A1793="","",IF('Loan Inputs'!$B$14=12,DATE(YEAR('Loan Inputs'!$B$8),MONTH('Loan Inputs'!$B$8)+A1793,DAY('Loan Inputs'!$B$8)),'Loan Inputs'!$B$8+A1793*IF('Loan Inputs'!$B$14=26,14,7)))</f>
        <v/>
      </c>
      <c r="C1793" s="2" t="str">
        <f t="shared" si="83"/>
        <v/>
      </c>
      <c r="D1793" s="2" t="str">
        <f>IF(A1793="","",MIN('Loan Inputs'!$B$17,C1793+E1793)+H1793)</f>
        <v/>
      </c>
      <c r="E1793" s="2" t="str">
        <f>IF(A1793="","",C1793*'Loan Inputs'!$B$15)</f>
        <v/>
      </c>
      <c r="F1793" s="2" t="str">
        <f t="shared" si="81"/>
        <v/>
      </c>
      <c r="G1793" s="2" t="str">
        <f t="shared" si="82"/>
        <v/>
      </c>
      <c r="H1793" s="2" t="str">
        <f>IF(A1793="","",MIN('Loan Inputs'!$B$18,MAX(0,C1793+E1793-'Loan Inputs'!$B$17)))</f>
        <v/>
      </c>
    </row>
    <row r="1794" spans="1:8" ht="22" customHeight="1">
      <c r="A1794" s="1" t="str">
        <f>IF(AND('Loan Inputs'!$B$12,1788&lt;=IF('Loan Inputs'!$B$12,'Loan Inputs'!$B$7,0)*'Loan Inputs'!$B$14+5*'Loan Inputs'!$B$14,ISNUMBER(G1793),G1793&gt;0),1788,"")</f>
        <v/>
      </c>
      <c r="B1794" s="4" t="str">
        <f>IF(A1794="","",IF('Loan Inputs'!$B$14=12,DATE(YEAR('Loan Inputs'!$B$8),MONTH('Loan Inputs'!$B$8)+A1794,DAY('Loan Inputs'!$B$8)),'Loan Inputs'!$B$8+A1794*IF('Loan Inputs'!$B$14=26,14,7)))</f>
        <v/>
      </c>
      <c r="C1794" s="2" t="str">
        <f t="shared" si="83"/>
        <v/>
      </c>
      <c r="D1794" s="2" t="str">
        <f>IF(A1794="","",MIN('Loan Inputs'!$B$17,C1794+E1794)+H1794)</f>
        <v/>
      </c>
      <c r="E1794" s="2" t="str">
        <f>IF(A1794="","",C1794*'Loan Inputs'!$B$15)</f>
        <v/>
      </c>
      <c r="F1794" s="2" t="str">
        <f t="shared" si="81"/>
        <v/>
      </c>
      <c r="G1794" s="2" t="str">
        <f t="shared" si="82"/>
        <v/>
      </c>
      <c r="H1794" s="2" t="str">
        <f>IF(A1794="","",MIN('Loan Inputs'!$B$18,MAX(0,C1794+E1794-'Loan Inputs'!$B$17)))</f>
        <v/>
      </c>
    </row>
    <row r="1795" spans="1:8" ht="22" customHeight="1">
      <c r="A1795" s="1" t="str">
        <f>IF(AND('Loan Inputs'!$B$12,1789&lt;=IF('Loan Inputs'!$B$12,'Loan Inputs'!$B$7,0)*'Loan Inputs'!$B$14+5*'Loan Inputs'!$B$14,ISNUMBER(G1794),G1794&gt;0),1789,"")</f>
        <v/>
      </c>
      <c r="B1795" s="4" t="str">
        <f>IF(A1795="","",IF('Loan Inputs'!$B$14=12,DATE(YEAR('Loan Inputs'!$B$8),MONTH('Loan Inputs'!$B$8)+A1795,DAY('Loan Inputs'!$B$8)),'Loan Inputs'!$B$8+A1795*IF('Loan Inputs'!$B$14=26,14,7)))</f>
        <v/>
      </c>
      <c r="C1795" s="2" t="str">
        <f t="shared" si="83"/>
        <v/>
      </c>
      <c r="D1795" s="2" t="str">
        <f>IF(A1795="","",MIN('Loan Inputs'!$B$17,C1795+E1795)+H1795)</f>
        <v/>
      </c>
      <c r="E1795" s="2" t="str">
        <f>IF(A1795="","",C1795*'Loan Inputs'!$B$15)</f>
        <v/>
      </c>
      <c r="F1795" s="2" t="str">
        <f t="shared" si="81"/>
        <v/>
      </c>
      <c r="G1795" s="2" t="str">
        <f t="shared" si="82"/>
        <v/>
      </c>
      <c r="H1795" s="2" t="str">
        <f>IF(A1795="","",MIN('Loan Inputs'!$B$18,MAX(0,C1795+E1795-'Loan Inputs'!$B$17)))</f>
        <v/>
      </c>
    </row>
    <row r="1796" spans="1:8" ht="22" customHeight="1">
      <c r="A1796" s="1" t="str">
        <f>IF(AND('Loan Inputs'!$B$12,1790&lt;=IF('Loan Inputs'!$B$12,'Loan Inputs'!$B$7,0)*'Loan Inputs'!$B$14+5*'Loan Inputs'!$B$14,ISNUMBER(G1795),G1795&gt;0),1790,"")</f>
        <v/>
      </c>
      <c r="B1796" s="4" t="str">
        <f>IF(A1796="","",IF('Loan Inputs'!$B$14=12,DATE(YEAR('Loan Inputs'!$B$8),MONTH('Loan Inputs'!$B$8)+A1796,DAY('Loan Inputs'!$B$8)),'Loan Inputs'!$B$8+A1796*IF('Loan Inputs'!$B$14=26,14,7)))</f>
        <v/>
      </c>
      <c r="C1796" s="2" t="str">
        <f t="shared" si="83"/>
        <v/>
      </c>
      <c r="D1796" s="2" t="str">
        <f>IF(A1796="","",MIN('Loan Inputs'!$B$17,C1796+E1796)+H1796)</f>
        <v/>
      </c>
      <c r="E1796" s="2" t="str">
        <f>IF(A1796="","",C1796*'Loan Inputs'!$B$15)</f>
        <v/>
      </c>
      <c r="F1796" s="2" t="str">
        <f t="shared" si="81"/>
        <v/>
      </c>
      <c r="G1796" s="2" t="str">
        <f t="shared" si="82"/>
        <v/>
      </c>
      <c r="H1796" s="2" t="str">
        <f>IF(A1796="","",MIN('Loan Inputs'!$B$18,MAX(0,C1796+E1796-'Loan Inputs'!$B$17)))</f>
        <v/>
      </c>
    </row>
    <row r="1797" spans="1:8" ht="22" customHeight="1">
      <c r="A1797" s="1" t="str">
        <f>IF(AND('Loan Inputs'!$B$12,1791&lt;=IF('Loan Inputs'!$B$12,'Loan Inputs'!$B$7,0)*'Loan Inputs'!$B$14+5*'Loan Inputs'!$B$14,ISNUMBER(G1796),G1796&gt;0),1791,"")</f>
        <v/>
      </c>
      <c r="B1797" s="4" t="str">
        <f>IF(A1797="","",IF('Loan Inputs'!$B$14=12,DATE(YEAR('Loan Inputs'!$B$8),MONTH('Loan Inputs'!$B$8)+A1797,DAY('Loan Inputs'!$B$8)),'Loan Inputs'!$B$8+A1797*IF('Loan Inputs'!$B$14=26,14,7)))</f>
        <v/>
      </c>
      <c r="C1797" s="2" t="str">
        <f t="shared" si="83"/>
        <v/>
      </c>
      <c r="D1797" s="2" t="str">
        <f>IF(A1797="","",MIN('Loan Inputs'!$B$17,C1797+E1797)+H1797)</f>
        <v/>
      </c>
      <c r="E1797" s="2" t="str">
        <f>IF(A1797="","",C1797*'Loan Inputs'!$B$15)</f>
        <v/>
      </c>
      <c r="F1797" s="2" t="str">
        <f t="shared" si="81"/>
        <v/>
      </c>
      <c r="G1797" s="2" t="str">
        <f t="shared" si="82"/>
        <v/>
      </c>
      <c r="H1797" s="2" t="str">
        <f>IF(A1797="","",MIN('Loan Inputs'!$B$18,MAX(0,C1797+E1797-'Loan Inputs'!$B$17)))</f>
        <v/>
      </c>
    </row>
    <row r="1798" spans="1:8" ht="22" customHeight="1">
      <c r="A1798" s="1" t="str">
        <f>IF(AND('Loan Inputs'!$B$12,1792&lt;=IF('Loan Inputs'!$B$12,'Loan Inputs'!$B$7,0)*'Loan Inputs'!$B$14+5*'Loan Inputs'!$B$14,ISNUMBER(G1797),G1797&gt;0),1792,"")</f>
        <v/>
      </c>
      <c r="B1798" s="4" t="str">
        <f>IF(A1798="","",IF('Loan Inputs'!$B$14=12,DATE(YEAR('Loan Inputs'!$B$8),MONTH('Loan Inputs'!$B$8)+A1798,DAY('Loan Inputs'!$B$8)),'Loan Inputs'!$B$8+A1798*IF('Loan Inputs'!$B$14=26,14,7)))</f>
        <v/>
      </c>
      <c r="C1798" s="2" t="str">
        <f t="shared" si="83"/>
        <v/>
      </c>
      <c r="D1798" s="2" t="str">
        <f>IF(A1798="","",MIN('Loan Inputs'!$B$17,C1798+E1798)+H1798)</f>
        <v/>
      </c>
      <c r="E1798" s="2" t="str">
        <f>IF(A1798="","",C1798*'Loan Inputs'!$B$15)</f>
        <v/>
      </c>
      <c r="F1798" s="2" t="str">
        <f t="shared" si="81"/>
        <v/>
      </c>
      <c r="G1798" s="2" t="str">
        <f t="shared" si="82"/>
        <v/>
      </c>
      <c r="H1798" s="2" t="str">
        <f>IF(A1798="","",MIN('Loan Inputs'!$B$18,MAX(0,C1798+E1798-'Loan Inputs'!$B$17)))</f>
        <v/>
      </c>
    </row>
    <row r="1799" spans="1:8" ht="22" customHeight="1">
      <c r="A1799" s="1" t="str">
        <f>IF(AND('Loan Inputs'!$B$12,1793&lt;=IF('Loan Inputs'!$B$12,'Loan Inputs'!$B$7,0)*'Loan Inputs'!$B$14+5*'Loan Inputs'!$B$14,ISNUMBER(G1798),G1798&gt;0),1793,"")</f>
        <v/>
      </c>
      <c r="B1799" s="4" t="str">
        <f>IF(A1799="","",IF('Loan Inputs'!$B$14=12,DATE(YEAR('Loan Inputs'!$B$8),MONTH('Loan Inputs'!$B$8)+A1799,DAY('Loan Inputs'!$B$8)),'Loan Inputs'!$B$8+A1799*IF('Loan Inputs'!$B$14=26,14,7)))</f>
        <v/>
      </c>
      <c r="C1799" s="2" t="str">
        <f t="shared" si="83"/>
        <v/>
      </c>
      <c r="D1799" s="2" t="str">
        <f>IF(A1799="","",MIN('Loan Inputs'!$B$17,C1799+E1799)+H1799)</f>
        <v/>
      </c>
      <c r="E1799" s="2" t="str">
        <f>IF(A1799="","",C1799*'Loan Inputs'!$B$15)</f>
        <v/>
      </c>
      <c r="F1799" s="2" t="str">
        <f t="shared" ref="F1799:F1862" si="84">IF(A1799="","",MIN(C1799,D1799-E1799))</f>
        <v/>
      </c>
      <c r="G1799" s="2" t="str">
        <f t="shared" ref="G1799:G1862" si="85">IF(A1799="","",IF(C1799-F1799&lt;0.0000001,0,MAX(0,C1799-F1799)))</f>
        <v/>
      </c>
      <c r="H1799" s="2" t="str">
        <f>IF(A1799="","",MIN('Loan Inputs'!$B$18,MAX(0,C1799+E1799-'Loan Inputs'!$B$17)))</f>
        <v/>
      </c>
    </row>
    <row r="1800" spans="1:8" ht="22" customHeight="1">
      <c r="A1800" s="1" t="str">
        <f>IF(AND('Loan Inputs'!$B$12,1794&lt;=IF('Loan Inputs'!$B$12,'Loan Inputs'!$B$7,0)*'Loan Inputs'!$B$14+5*'Loan Inputs'!$B$14,ISNUMBER(G1799),G1799&gt;0),1794,"")</f>
        <v/>
      </c>
      <c r="B1800" s="4" t="str">
        <f>IF(A1800="","",IF('Loan Inputs'!$B$14=12,DATE(YEAR('Loan Inputs'!$B$8),MONTH('Loan Inputs'!$B$8)+A1800,DAY('Loan Inputs'!$B$8)),'Loan Inputs'!$B$8+A1800*IF('Loan Inputs'!$B$14=26,14,7)))</f>
        <v/>
      </c>
      <c r="C1800" s="2" t="str">
        <f t="shared" ref="C1800:C1863" si="86">IF(A1800="","",G1799)</f>
        <v/>
      </c>
      <c r="D1800" s="2" t="str">
        <f>IF(A1800="","",MIN('Loan Inputs'!$B$17,C1800+E1800)+H1800)</f>
        <v/>
      </c>
      <c r="E1800" s="2" t="str">
        <f>IF(A1800="","",C1800*'Loan Inputs'!$B$15)</f>
        <v/>
      </c>
      <c r="F1800" s="2" t="str">
        <f t="shared" si="84"/>
        <v/>
      </c>
      <c r="G1800" s="2" t="str">
        <f t="shared" si="85"/>
        <v/>
      </c>
      <c r="H1800" s="2" t="str">
        <f>IF(A1800="","",MIN('Loan Inputs'!$B$18,MAX(0,C1800+E1800-'Loan Inputs'!$B$17)))</f>
        <v/>
      </c>
    </row>
    <row r="1801" spans="1:8" ht="22" customHeight="1">
      <c r="A1801" s="1" t="str">
        <f>IF(AND('Loan Inputs'!$B$12,1795&lt;=IF('Loan Inputs'!$B$12,'Loan Inputs'!$B$7,0)*'Loan Inputs'!$B$14+5*'Loan Inputs'!$B$14,ISNUMBER(G1800),G1800&gt;0),1795,"")</f>
        <v/>
      </c>
      <c r="B1801" s="4" t="str">
        <f>IF(A1801="","",IF('Loan Inputs'!$B$14=12,DATE(YEAR('Loan Inputs'!$B$8),MONTH('Loan Inputs'!$B$8)+A1801,DAY('Loan Inputs'!$B$8)),'Loan Inputs'!$B$8+A1801*IF('Loan Inputs'!$B$14=26,14,7)))</f>
        <v/>
      </c>
      <c r="C1801" s="2" t="str">
        <f t="shared" si="86"/>
        <v/>
      </c>
      <c r="D1801" s="2" t="str">
        <f>IF(A1801="","",MIN('Loan Inputs'!$B$17,C1801+E1801)+H1801)</f>
        <v/>
      </c>
      <c r="E1801" s="2" t="str">
        <f>IF(A1801="","",C1801*'Loan Inputs'!$B$15)</f>
        <v/>
      </c>
      <c r="F1801" s="2" t="str">
        <f t="shared" si="84"/>
        <v/>
      </c>
      <c r="G1801" s="2" t="str">
        <f t="shared" si="85"/>
        <v/>
      </c>
      <c r="H1801" s="2" t="str">
        <f>IF(A1801="","",MIN('Loan Inputs'!$B$18,MAX(0,C1801+E1801-'Loan Inputs'!$B$17)))</f>
        <v/>
      </c>
    </row>
    <row r="1802" spans="1:8" ht="22" customHeight="1">
      <c r="A1802" s="1" t="str">
        <f>IF(AND('Loan Inputs'!$B$12,1796&lt;=IF('Loan Inputs'!$B$12,'Loan Inputs'!$B$7,0)*'Loan Inputs'!$B$14+5*'Loan Inputs'!$B$14,ISNUMBER(G1801),G1801&gt;0),1796,"")</f>
        <v/>
      </c>
      <c r="B1802" s="4" t="str">
        <f>IF(A1802="","",IF('Loan Inputs'!$B$14=12,DATE(YEAR('Loan Inputs'!$B$8),MONTH('Loan Inputs'!$B$8)+A1802,DAY('Loan Inputs'!$B$8)),'Loan Inputs'!$B$8+A1802*IF('Loan Inputs'!$B$14=26,14,7)))</f>
        <v/>
      </c>
      <c r="C1802" s="2" t="str">
        <f t="shared" si="86"/>
        <v/>
      </c>
      <c r="D1802" s="2" t="str">
        <f>IF(A1802="","",MIN('Loan Inputs'!$B$17,C1802+E1802)+H1802)</f>
        <v/>
      </c>
      <c r="E1802" s="2" t="str">
        <f>IF(A1802="","",C1802*'Loan Inputs'!$B$15)</f>
        <v/>
      </c>
      <c r="F1802" s="2" t="str">
        <f t="shared" si="84"/>
        <v/>
      </c>
      <c r="G1802" s="2" t="str">
        <f t="shared" si="85"/>
        <v/>
      </c>
      <c r="H1802" s="2" t="str">
        <f>IF(A1802="","",MIN('Loan Inputs'!$B$18,MAX(0,C1802+E1802-'Loan Inputs'!$B$17)))</f>
        <v/>
      </c>
    </row>
    <row r="1803" spans="1:8" ht="22" customHeight="1">
      <c r="A1803" s="1" t="str">
        <f>IF(AND('Loan Inputs'!$B$12,1797&lt;=IF('Loan Inputs'!$B$12,'Loan Inputs'!$B$7,0)*'Loan Inputs'!$B$14+5*'Loan Inputs'!$B$14,ISNUMBER(G1802),G1802&gt;0),1797,"")</f>
        <v/>
      </c>
      <c r="B1803" s="4" t="str">
        <f>IF(A1803="","",IF('Loan Inputs'!$B$14=12,DATE(YEAR('Loan Inputs'!$B$8),MONTH('Loan Inputs'!$B$8)+A1803,DAY('Loan Inputs'!$B$8)),'Loan Inputs'!$B$8+A1803*IF('Loan Inputs'!$B$14=26,14,7)))</f>
        <v/>
      </c>
      <c r="C1803" s="2" t="str">
        <f t="shared" si="86"/>
        <v/>
      </c>
      <c r="D1803" s="2" t="str">
        <f>IF(A1803="","",MIN('Loan Inputs'!$B$17,C1803+E1803)+H1803)</f>
        <v/>
      </c>
      <c r="E1803" s="2" t="str">
        <f>IF(A1803="","",C1803*'Loan Inputs'!$B$15)</f>
        <v/>
      </c>
      <c r="F1803" s="2" t="str">
        <f t="shared" si="84"/>
        <v/>
      </c>
      <c r="G1803" s="2" t="str">
        <f t="shared" si="85"/>
        <v/>
      </c>
      <c r="H1803" s="2" t="str">
        <f>IF(A1803="","",MIN('Loan Inputs'!$B$18,MAX(0,C1803+E1803-'Loan Inputs'!$B$17)))</f>
        <v/>
      </c>
    </row>
    <row r="1804" spans="1:8" ht="22" customHeight="1">
      <c r="A1804" s="1" t="str">
        <f>IF(AND('Loan Inputs'!$B$12,1798&lt;=IF('Loan Inputs'!$B$12,'Loan Inputs'!$B$7,0)*'Loan Inputs'!$B$14+5*'Loan Inputs'!$B$14,ISNUMBER(G1803),G1803&gt;0),1798,"")</f>
        <v/>
      </c>
      <c r="B1804" s="4" t="str">
        <f>IF(A1804="","",IF('Loan Inputs'!$B$14=12,DATE(YEAR('Loan Inputs'!$B$8),MONTH('Loan Inputs'!$B$8)+A1804,DAY('Loan Inputs'!$B$8)),'Loan Inputs'!$B$8+A1804*IF('Loan Inputs'!$B$14=26,14,7)))</f>
        <v/>
      </c>
      <c r="C1804" s="2" t="str">
        <f t="shared" si="86"/>
        <v/>
      </c>
      <c r="D1804" s="2" t="str">
        <f>IF(A1804="","",MIN('Loan Inputs'!$B$17,C1804+E1804)+H1804)</f>
        <v/>
      </c>
      <c r="E1804" s="2" t="str">
        <f>IF(A1804="","",C1804*'Loan Inputs'!$B$15)</f>
        <v/>
      </c>
      <c r="F1804" s="2" t="str">
        <f t="shared" si="84"/>
        <v/>
      </c>
      <c r="G1804" s="2" t="str">
        <f t="shared" si="85"/>
        <v/>
      </c>
      <c r="H1804" s="2" t="str">
        <f>IF(A1804="","",MIN('Loan Inputs'!$B$18,MAX(0,C1804+E1804-'Loan Inputs'!$B$17)))</f>
        <v/>
      </c>
    </row>
    <row r="1805" spans="1:8" ht="22" customHeight="1">
      <c r="A1805" s="1" t="str">
        <f>IF(AND('Loan Inputs'!$B$12,1799&lt;=IF('Loan Inputs'!$B$12,'Loan Inputs'!$B$7,0)*'Loan Inputs'!$B$14+5*'Loan Inputs'!$B$14,ISNUMBER(G1804),G1804&gt;0),1799,"")</f>
        <v/>
      </c>
      <c r="B1805" s="4" t="str">
        <f>IF(A1805="","",IF('Loan Inputs'!$B$14=12,DATE(YEAR('Loan Inputs'!$B$8),MONTH('Loan Inputs'!$B$8)+A1805,DAY('Loan Inputs'!$B$8)),'Loan Inputs'!$B$8+A1805*IF('Loan Inputs'!$B$14=26,14,7)))</f>
        <v/>
      </c>
      <c r="C1805" s="2" t="str">
        <f t="shared" si="86"/>
        <v/>
      </c>
      <c r="D1805" s="2" t="str">
        <f>IF(A1805="","",MIN('Loan Inputs'!$B$17,C1805+E1805)+H1805)</f>
        <v/>
      </c>
      <c r="E1805" s="2" t="str">
        <f>IF(A1805="","",C1805*'Loan Inputs'!$B$15)</f>
        <v/>
      </c>
      <c r="F1805" s="2" t="str">
        <f t="shared" si="84"/>
        <v/>
      </c>
      <c r="G1805" s="2" t="str">
        <f t="shared" si="85"/>
        <v/>
      </c>
      <c r="H1805" s="2" t="str">
        <f>IF(A1805="","",MIN('Loan Inputs'!$B$18,MAX(0,C1805+E1805-'Loan Inputs'!$B$17)))</f>
        <v/>
      </c>
    </row>
    <row r="1806" spans="1:8" ht="22" customHeight="1">
      <c r="A1806" s="1" t="str">
        <f>IF(AND('Loan Inputs'!$B$12,1800&lt;=IF('Loan Inputs'!$B$12,'Loan Inputs'!$B$7,0)*'Loan Inputs'!$B$14+5*'Loan Inputs'!$B$14,ISNUMBER(G1805),G1805&gt;0),1800,"")</f>
        <v/>
      </c>
      <c r="B1806" s="4" t="str">
        <f>IF(A1806="","",IF('Loan Inputs'!$B$14=12,DATE(YEAR('Loan Inputs'!$B$8),MONTH('Loan Inputs'!$B$8)+A1806,DAY('Loan Inputs'!$B$8)),'Loan Inputs'!$B$8+A1806*IF('Loan Inputs'!$B$14=26,14,7)))</f>
        <v/>
      </c>
      <c r="C1806" s="2" t="str">
        <f t="shared" si="86"/>
        <v/>
      </c>
      <c r="D1806" s="2" t="str">
        <f>IF(A1806="","",MIN('Loan Inputs'!$B$17,C1806+E1806)+H1806)</f>
        <v/>
      </c>
      <c r="E1806" s="2" t="str">
        <f>IF(A1806="","",C1806*'Loan Inputs'!$B$15)</f>
        <v/>
      </c>
      <c r="F1806" s="2" t="str">
        <f t="shared" si="84"/>
        <v/>
      </c>
      <c r="G1806" s="2" t="str">
        <f t="shared" si="85"/>
        <v/>
      </c>
      <c r="H1806" s="2" t="str">
        <f>IF(A1806="","",MIN('Loan Inputs'!$B$18,MAX(0,C1806+E1806-'Loan Inputs'!$B$17)))</f>
        <v/>
      </c>
    </row>
    <row r="1807" spans="1:8" ht="22" customHeight="1">
      <c r="A1807" s="1" t="str">
        <f>IF(AND('Loan Inputs'!$B$12,1801&lt;=IF('Loan Inputs'!$B$12,'Loan Inputs'!$B$7,0)*'Loan Inputs'!$B$14+5*'Loan Inputs'!$B$14,ISNUMBER(G1806),G1806&gt;0),1801,"")</f>
        <v/>
      </c>
      <c r="B1807" s="4" t="str">
        <f>IF(A1807="","",IF('Loan Inputs'!$B$14=12,DATE(YEAR('Loan Inputs'!$B$8),MONTH('Loan Inputs'!$B$8)+A1807,DAY('Loan Inputs'!$B$8)),'Loan Inputs'!$B$8+A1807*IF('Loan Inputs'!$B$14=26,14,7)))</f>
        <v/>
      </c>
      <c r="C1807" s="2" t="str">
        <f t="shared" si="86"/>
        <v/>
      </c>
      <c r="D1807" s="2" t="str">
        <f>IF(A1807="","",MIN('Loan Inputs'!$B$17,C1807+E1807)+H1807)</f>
        <v/>
      </c>
      <c r="E1807" s="2" t="str">
        <f>IF(A1807="","",C1807*'Loan Inputs'!$B$15)</f>
        <v/>
      </c>
      <c r="F1807" s="2" t="str">
        <f t="shared" si="84"/>
        <v/>
      </c>
      <c r="G1807" s="2" t="str">
        <f t="shared" si="85"/>
        <v/>
      </c>
      <c r="H1807" s="2" t="str">
        <f>IF(A1807="","",MIN('Loan Inputs'!$B$18,MAX(0,C1807+E1807-'Loan Inputs'!$B$17)))</f>
        <v/>
      </c>
    </row>
    <row r="1808" spans="1:8" ht="22" customHeight="1">
      <c r="A1808" s="1" t="str">
        <f>IF(AND('Loan Inputs'!$B$12,1802&lt;=IF('Loan Inputs'!$B$12,'Loan Inputs'!$B$7,0)*'Loan Inputs'!$B$14+5*'Loan Inputs'!$B$14,ISNUMBER(G1807),G1807&gt;0),1802,"")</f>
        <v/>
      </c>
      <c r="B1808" s="4" t="str">
        <f>IF(A1808="","",IF('Loan Inputs'!$B$14=12,DATE(YEAR('Loan Inputs'!$B$8),MONTH('Loan Inputs'!$B$8)+A1808,DAY('Loan Inputs'!$B$8)),'Loan Inputs'!$B$8+A1808*IF('Loan Inputs'!$B$14=26,14,7)))</f>
        <v/>
      </c>
      <c r="C1808" s="2" t="str">
        <f t="shared" si="86"/>
        <v/>
      </c>
      <c r="D1808" s="2" t="str">
        <f>IF(A1808="","",MIN('Loan Inputs'!$B$17,C1808+E1808)+H1808)</f>
        <v/>
      </c>
      <c r="E1808" s="2" t="str">
        <f>IF(A1808="","",C1808*'Loan Inputs'!$B$15)</f>
        <v/>
      </c>
      <c r="F1808" s="2" t="str">
        <f t="shared" si="84"/>
        <v/>
      </c>
      <c r="G1808" s="2" t="str">
        <f t="shared" si="85"/>
        <v/>
      </c>
      <c r="H1808" s="2" t="str">
        <f>IF(A1808="","",MIN('Loan Inputs'!$B$18,MAX(0,C1808+E1808-'Loan Inputs'!$B$17)))</f>
        <v/>
      </c>
    </row>
    <row r="1809" spans="1:8" ht="22" customHeight="1">
      <c r="A1809" s="1" t="str">
        <f>IF(AND('Loan Inputs'!$B$12,1803&lt;=IF('Loan Inputs'!$B$12,'Loan Inputs'!$B$7,0)*'Loan Inputs'!$B$14+5*'Loan Inputs'!$B$14,ISNUMBER(G1808),G1808&gt;0),1803,"")</f>
        <v/>
      </c>
      <c r="B1809" s="4" t="str">
        <f>IF(A1809="","",IF('Loan Inputs'!$B$14=12,DATE(YEAR('Loan Inputs'!$B$8),MONTH('Loan Inputs'!$B$8)+A1809,DAY('Loan Inputs'!$B$8)),'Loan Inputs'!$B$8+A1809*IF('Loan Inputs'!$B$14=26,14,7)))</f>
        <v/>
      </c>
      <c r="C1809" s="2" t="str">
        <f t="shared" si="86"/>
        <v/>
      </c>
      <c r="D1809" s="2" t="str">
        <f>IF(A1809="","",MIN('Loan Inputs'!$B$17,C1809+E1809)+H1809)</f>
        <v/>
      </c>
      <c r="E1809" s="2" t="str">
        <f>IF(A1809="","",C1809*'Loan Inputs'!$B$15)</f>
        <v/>
      </c>
      <c r="F1809" s="2" t="str">
        <f t="shared" si="84"/>
        <v/>
      </c>
      <c r="G1809" s="2" t="str">
        <f t="shared" si="85"/>
        <v/>
      </c>
      <c r="H1809" s="2" t="str">
        <f>IF(A1809="","",MIN('Loan Inputs'!$B$18,MAX(0,C1809+E1809-'Loan Inputs'!$B$17)))</f>
        <v/>
      </c>
    </row>
    <row r="1810" spans="1:8" ht="22" customHeight="1">
      <c r="A1810" s="1" t="str">
        <f>IF(AND('Loan Inputs'!$B$12,1804&lt;=IF('Loan Inputs'!$B$12,'Loan Inputs'!$B$7,0)*'Loan Inputs'!$B$14+5*'Loan Inputs'!$B$14,ISNUMBER(G1809),G1809&gt;0),1804,"")</f>
        <v/>
      </c>
      <c r="B1810" s="4" t="str">
        <f>IF(A1810="","",IF('Loan Inputs'!$B$14=12,DATE(YEAR('Loan Inputs'!$B$8),MONTH('Loan Inputs'!$B$8)+A1810,DAY('Loan Inputs'!$B$8)),'Loan Inputs'!$B$8+A1810*IF('Loan Inputs'!$B$14=26,14,7)))</f>
        <v/>
      </c>
      <c r="C1810" s="2" t="str">
        <f t="shared" si="86"/>
        <v/>
      </c>
      <c r="D1810" s="2" t="str">
        <f>IF(A1810="","",MIN('Loan Inputs'!$B$17,C1810+E1810)+H1810)</f>
        <v/>
      </c>
      <c r="E1810" s="2" t="str">
        <f>IF(A1810="","",C1810*'Loan Inputs'!$B$15)</f>
        <v/>
      </c>
      <c r="F1810" s="2" t="str">
        <f t="shared" si="84"/>
        <v/>
      </c>
      <c r="G1810" s="2" t="str">
        <f t="shared" si="85"/>
        <v/>
      </c>
      <c r="H1810" s="2" t="str">
        <f>IF(A1810="","",MIN('Loan Inputs'!$B$18,MAX(0,C1810+E1810-'Loan Inputs'!$B$17)))</f>
        <v/>
      </c>
    </row>
    <row r="1811" spans="1:8" ht="22" customHeight="1">
      <c r="A1811" s="1" t="str">
        <f>IF(AND('Loan Inputs'!$B$12,1805&lt;=IF('Loan Inputs'!$B$12,'Loan Inputs'!$B$7,0)*'Loan Inputs'!$B$14+5*'Loan Inputs'!$B$14,ISNUMBER(G1810),G1810&gt;0),1805,"")</f>
        <v/>
      </c>
      <c r="B1811" s="4" t="str">
        <f>IF(A1811="","",IF('Loan Inputs'!$B$14=12,DATE(YEAR('Loan Inputs'!$B$8),MONTH('Loan Inputs'!$B$8)+A1811,DAY('Loan Inputs'!$B$8)),'Loan Inputs'!$B$8+A1811*IF('Loan Inputs'!$B$14=26,14,7)))</f>
        <v/>
      </c>
      <c r="C1811" s="2" t="str">
        <f t="shared" si="86"/>
        <v/>
      </c>
      <c r="D1811" s="2" t="str">
        <f>IF(A1811="","",MIN('Loan Inputs'!$B$17,C1811+E1811)+H1811)</f>
        <v/>
      </c>
      <c r="E1811" s="2" t="str">
        <f>IF(A1811="","",C1811*'Loan Inputs'!$B$15)</f>
        <v/>
      </c>
      <c r="F1811" s="2" t="str">
        <f t="shared" si="84"/>
        <v/>
      </c>
      <c r="G1811" s="2" t="str">
        <f t="shared" si="85"/>
        <v/>
      </c>
      <c r="H1811" s="2" t="str">
        <f>IF(A1811="","",MIN('Loan Inputs'!$B$18,MAX(0,C1811+E1811-'Loan Inputs'!$B$17)))</f>
        <v/>
      </c>
    </row>
    <row r="1812" spans="1:8" ht="22" customHeight="1">
      <c r="A1812" s="1" t="str">
        <f>IF(AND('Loan Inputs'!$B$12,1806&lt;=IF('Loan Inputs'!$B$12,'Loan Inputs'!$B$7,0)*'Loan Inputs'!$B$14+5*'Loan Inputs'!$B$14,ISNUMBER(G1811),G1811&gt;0),1806,"")</f>
        <v/>
      </c>
      <c r="B1812" s="4" t="str">
        <f>IF(A1812="","",IF('Loan Inputs'!$B$14=12,DATE(YEAR('Loan Inputs'!$B$8),MONTH('Loan Inputs'!$B$8)+A1812,DAY('Loan Inputs'!$B$8)),'Loan Inputs'!$B$8+A1812*IF('Loan Inputs'!$B$14=26,14,7)))</f>
        <v/>
      </c>
      <c r="C1812" s="2" t="str">
        <f t="shared" si="86"/>
        <v/>
      </c>
      <c r="D1812" s="2" t="str">
        <f>IF(A1812="","",MIN('Loan Inputs'!$B$17,C1812+E1812)+H1812)</f>
        <v/>
      </c>
      <c r="E1812" s="2" t="str">
        <f>IF(A1812="","",C1812*'Loan Inputs'!$B$15)</f>
        <v/>
      </c>
      <c r="F1812" s="2" t="str">
        <f t="shared" si="84"/>
        <v/>
      </c>
      <c r="G1812" s="2" t="str">
        <f t="shared" si="85"/>
        <v/>
      </c>
      <c r="H1812" s="2" t="str">
        <f>IF(A1812="","",MIN('Loan Inputs'!$B$18,MAX(0,C1812+E1812-'Loan Inputs'!$B$17)))</f>
        <v/>
      </c>
    </row>
    <row r="1813" spans="1:8" ht="22" customHeight="1">
      <c r="A1813" s="1" t="str">
        <f>IF(AND('Loan Inputs'!$B$12,1807&lt;=IF('Loan Inputs'!$B$12,'Loan Inputs'!$B$7,0)*'Loan Inputs'!$B$14+5*'Loan Inputs'!$B$14,ISNUMBER(G1812),G1812&gt;0),1807,"")</f>
        <v/>
      </c>
      <c r="B1813" s="4" t="str">
        <f>IF(A1813="","",IF('Loan Inputs'!$B$14=12,DATE(YEAR('Loan Inputs'!$B$8),MONTH('Loan Inputs'!$B$8)+A1813,DAY('Loan Inputs'!$B$8)),'Loan Inputs'!$B$8+A1813*IF('Loan Inputs'!$B$14=26,14,7)))</f>
        <v/>
      </c>
      <c r="C1813" s="2" t="str">
        <f t="shared" si="86"/>
        <v/>
      </c>
      <c r="D1813" s="2" t="str">
        <f>IF(A1813="","",MIN('Loan Inputs'!$B$17,C1813+E1813)+H1813)</f>
        <v/>
      </c>
      <c r="E1813" s="2" t="str">
        <f>IF(A1813="","",C1813*'Loan Inputs'!$B$15)</f>
        <v/>
      </c>
      <c r="F1813" s="2" t="str">
        <f t="shared" si="84"/>
        <v/>
      </c>
      <c r="G1813" s="2" t="str">
        <f t="shared" si="85"/>
        <v/>
      </c>
      <c r="H1813" s="2" t="str">
        <f>IF(A1813="","",MIN('Loan Inputs'!$B$18,MAX(0,C1813+E1813-'Loan Inputs'!$B$17)))</f>
        <v/>
      </c>
    </row>
    <row r="1814" spans="1:8" ht="22" customHeight="1">
      <c r="A1814" s="1" t="str">
        <f>IF(AND('Loan Inputs'!$B$12,1808&lt;=IF('Loan Inputs'!$B$12,'Loan Inputs'!$B$7,0)*'Loan Inputs'!$B$14+5*'Loan Inputs'!$B$14,ISNUMBER(G1813),G1813&gt;0),1808,"")</f>
        <v/>
      </c>
      <c r="B1814" s="4" t="str">
        <f>IF(A1814="","",IF('Loan Inputs'!$B$14=12,DATE(YEAR('Loan Inputs'!$B$8),MONTH('Loan Inputs'!$B$8)+A1814,DAY('Loan Inputs'!$B$8)),'Loan Inputs'!$B$8+A1814*IF('Loan Inputs'!$B$14=26,14,7)))</f>
        <v/>
      </c>
      <c r="C1814" s="2" t="str">
        <f t="shared" si="86"/>
        <v/>
      </c>
      <c r="D1814" s="2" t="str">
        <f>IF(A1814="","",MIN('Loan Inputs'!$B$17,C1814+E1814)+H1814)</f>
        <v/>
      </c>
      <c r="E1814" s="2" t="str">
        <f>IF(A1814="","",C1814*'Loan Inputs'!$B$15)</f>
        <v/>
      </c>
      <c r="F1814" s="2" t="str">
        <f t="shared" si="84"/>
        <v/>
      </c>
      <c r="G1814" s="2" t="str">
        <f t="shared" si="85"/>
        <v/>
      </c>
      <c r="H1814" s="2" t="str">
        <f>IF(A1814="","",MIN('Loan Inputs'!$B$18,MAX(0,C1814+E1814-'Loan Inputs'!$B$17)))</f>
        <v/>
      </c>
    </row>
    <row r="1815" spans="1:8" ht="22" customHeight="1">
      <c r="A1815" s="1" t="str">
        <f>IF(AND('Loan Inputs'!$B$12,1809&lt;=IF('Loan Inputs'!$B$12,'Loan Inputs'!$B$7,0)*'Loan Inputs'!$B$14+5*'Loan Inputs'!$B$14,ISNUMBER(G1814),G1814&gt;0),1809,"")</f>
        <v/>
      </c>
      <c r="B1815" s="4" t="str">
        <f>IF(A1815="","",IF('Loan Inputs'!$B$14=12,DATE(YEAR('Loan Inputs'!$B$8),MONTH('Loan Inputs'!$B$8)+A1815,DAY('Loan Inputs'!$B$8)),'Loan Inputs'!$B$8+A1815*IF('Loan Inputs'!$B$14=26,14,7)))</f>
        <v/>
      </c>
      <c r="C1815" s="2" t="str">
        <f t="shared" si="86"/>
        <v/>
      </c>
      <c r="D1815" s="2" t="str">
        <f>IF(A1815="","",MIN('Loan Inputs'!$B$17,C1815+E1815)+H1815)</f>
        <v/>
      </c>
      <c r="E1815" s="2" t="str">
        <f>IF(A1815="","",C1815*'Loan Inputs'!$B$15)</f>
        <v/>
      </c>
      <c r="F1815" s="2" t="str">
        <f t="shared" si="84"/>
        <v/>
      </c>
      <c r="G1815" s="2" t="str">
        <f t="shared" si="85"/>
        <v/>
      </c>
      <c r="H1815" s="2" t="str">
        <f>IF(A1815="","",MIN('Loan Inputs'!$B$18,MAX(0,C1815+E1815-'Loan Inputs'!$B$17)))</f>
        <v/>
      </c>
    </row>
    <row r="1816" spans="1:8" ht="22" customHeight="1">
      <c r="A1816" s="1" t="str">
        <f>IF(AND('Loan Inputs'!$B$12,1810&lt;=IF('Loan Inputs'!$B$12,'Loan Inputs'!$B$7,0)*'Loan Inputs'!$B$14+5*'Loan Inputs'!$B$14,ISNUMBER(G1815),G1815&gt;0),1810,"")</f>
        <v/>
      </c>
      <c r="B1816" s="4" t="str">
        <f>IF(A1816="","",IF('Loan Inputs'!$B$14=12,DATE(YEAR('Loan Inputs'!$B$8),MONTH('Loan Inputs'!$B$8)+A1816,DAY('Loan Inputs'!$B$8)),'Loan Inputs'!$B$8+A1816*IF('Loan Inputs'!$B$14=26,14,7)))</f>
        <v/>
      </c>
      <c r="C1816" s="2" t="str">
        <f t="shared" si="86"/>
        <v/>
      </c>
      <c r="D1816" s="2" t="str">
        <f>IF(A1816="","",MIN('Loan Inputs'!$B$17,C1816+E1816)+H1816)</f>
        <v/>
      </c>
      <c r="E1816" s="2" t="str">
        <f>IF(A1816="","",C1816*'Loan Inputs'!$B$15)</f>
        <v/>
      </c>
      <c r="F1816" s="2" t="str">
        <f t="shared" si="84"/>
        <v/>
      </c>
      <c r="G1816" s="2" t="str">
        <f t="shared" si="85"/>
        <v/>
      </c>
      <c r="H1816" s="2" t="str">
        <f>IF(A1816="","",MIN('Loan Inputs'!$B$18,MAX(0,C1816+E1816-'Loan Inputs'!$B$17)))</f>
        <v/>
      </c>
    </row>
    <row r="1817" spans="1:8" ht="22" customHeight="1">
      <c r="A1817" s="1" t="str">
        <f>IF(AND('Loan Inputs'!$B$12,1811&lt;=IF('Loan Inputs'!$B$12,'Loan Inputs'!$B$7,0)*'Loan Inputs'!$B$14+5*'Loan Inputs'!$B$14,ISNUMBER(G1816),G1816&gt;0),1811,"")</f>
        <v/>
      </c>
      <c r="B1817" s="4" t="str">
        <f>IF(A1817="","",IF('Loan Inputs'!$B$14=12,DATE(YEAR('Loan Inputs'!$B$8),MONTH('Loan Inputs'!$B$8)+A1817,DAY('Loan Inputs'!$B$8)),'Loan Inputs'!$B$8+A1817*IF('Loan Inputs'!$B$14=26,14,7)))</f>
        <v/>
      </c>
      <c r="C1817" s="2" t="str">
        <f t="shared" si="86"/>
        <v/>
      </c>
      <c r="D1817" s="2" t="str">
        <f>IF(A1817="","",MIN('Loan Inputs'!$B$17,C1817+E1817)+H1817)</f>
        <v/>
      </c>
      <c r="E1817" s="2" t="str">
        <f>IF(A1817="","",C1817*'Loan Inputs'!$B$15)</f>
        <v/>
      </c>
      <c r="F1817" s="2" t="str">
        <f t="shared" si="84"/>
        <v/>
      </c>
      <c r="G1817" s="2" t="str">
        <f t="shared" si="85"/>
        <v/>
      </c>
      <c r="H1817" s="2" t="str">
        <f>IF(A1817="","",MIN('Loan Inputs'!$B$18,MAX(0,C1817+E1817-'Loan Inputs'!$B$17)))</f>
        <v/>
      </c>
    </row>
    <row r="1818" spans="1:8" ht="22" customHeight="1">
      <c r="A1818" s="1" t="str">
        <f>IF(AND('Loan Inputs'!$B$12,1812&lt;=IF('Loan Inputs'!$B$12,'Loan Inputs'!$B$7,0)*'Loan Inputs'!$B$14+5*'Loan Inputs'!$B$14,ISNUMBER(G1817),G1817&gt;0),1812,"")</f>
        <v/>
      </c>
      <c r="B1818" s="4" t="str">
        <f>IF(A1818="","",IF('Loan Inputs'!$B$14=12,DATE(YEAR('Loan Inputs'!$B$8),MONTH('Loan Inputs'!$B$8)+A1818,DAY('Loan Inputs'!$B$8)),'Loan Inputs'!$B$8+A1818*IF('Loan Inputs'!$B$14=26,14,7)))</f>
        <v/>
      </c>
      <c r="C1818" s="2" t="str">
        <f t="shared" si="86"/>
        <v/>
      </c>
      <c r="D1818" s="2" t="str">
        <f>IF(A1818="","",MIN('Loan Inputs'!$B$17,C1818+E1818)+H1818)</f>
        <v/>
      </c>
      <c r="E1818" s="2" t="str">
        <f>IF(A1818="","",C1818*'Loan Inputs'!$B$15)</f>
        <v/>
      </c>
      <c r="F1818" s="2" t="str">
        <f t="shared" si="84"/>
        <v/>
      </c>
      <c r="G1818" s="2" t="str">
        <f t="shared" si="85"/>
        <v/>
      </c>
      <c r="H1818" s="2" t="str">
        <f>IF(A1818="","",MIN('Loan Inputs'!$B$18,MAX(0,C1818+E1818-'Loan Inputs'!$B$17)))</f>
        <v/>
      </c>
    </row>
    <row r="1819" spans="1:8" ht="22" customHeight="1">
      <c r="A1819" s="1" t="str">
        <f>IF(AND('Loan Inputs'!$B$12,1813&lt;=IF('Loan Inputs'!$B$12,'Loan Inputs'!$B$7,0)*'Loan Inputs'!$B$14+5*'Loan Inputs'!$B$14,ISNUMBER(G1818),G1818&gt;0),1813,"")</f>
        <v/>
      </c>
      <c r="B1819" s="4" t="str">
        <f>IF(A1819="","",IF('Loan Inputs'!$B$14=12,DATE(YEAR('Loan Inputs'!$B$8),MONTH('Loan Inputs'!$B$8)+A1819,DAY('Loan Inputs'!$B$8)),'Loan Inputs'!$B$8+A1819*IF('Loan Inputs'!$B$14=26,14,7)))</f>
        <v/>
      </c>
      <c r="C1819" s="2" t="str">
        <f t="shared" si="86"/>
        <v/>
      </c>
      <c r="D1819" s="2" t="str">
        <f>IF(A1819="","",MIN('Loan Inputs'!$B$17,C1819+E1819)+H1819)</f>
        <v/>
      </c>
      <c r="E1819" s="2" t="str">
        <f>IF(A1819="","",C1819*'Loan Inputs'!$B$15)</f>
        <v/>
      </c>
      <c r="F1819" s="2" t="str">
        <f t="shared" si="84"/>
        <v/>
      </c>
      <c r="G1819" s="2" t="str">
        <f t="shared" si="85"/>
        <v/>
      </c>
      <c r="H1819" s="2" t="str">
        <f>IF(A1819="","",MIN('Loan Inputs'!$B$18,MAX(0,C1819+E1819-'Loan Inputs'!$B$17)))</f>
        <v/>
      </c>
    </row>
    <row r="1820" spans="1:8" ht="22" customHeight="1">
      <c r="A1820" s="1" t="str">
        <f>IF(AND('Loan Inputs'!$B$12,1814&lt;=IF('Loan Inputs'!$B$12,'Loan Inputs'!$B$7,0)*'Loan Inputs'!$B$14+5*'Loan Inputs'!$B$14,ISNUMBER(G1819),G1819&gt;0),1814,"")</f>
        <v/>
      </c>
      <c r="B1820" s="4" t="str">
        <f>IF(A1820="","",IF('Loan Inputs'!$B$14=12,DATE(YEAR('Loan Inputs'!$B$8),MONTH('Loan Inputs'!$B$8)+A1820,DAY('Loan Inputs'!$B$8)),'Loan Inputs'!$B$8+A1820*IF('Loan Inputs'!$B$14=26,14,7)))</f>
        <v/>
      </c>
      <c r="C1820" s="2" t="str">
        <f t="shared" si="86"/>
        <v/>
      </c>
      <c r="D1820" s="2" t="str">
        <f>IF(A1820="","",MIN('Loan Inputs'!$B$17,C1820+E1820)+H1820)</f>
        <v/>
      </c>
      <c r="E1820" s="2" t="str">
        <f>IF(A1820="","",C1820*'Loan Inputs'!$B$15)</f>
        <v/>
      </c>
      <c r="F1820" s="2" t="str">
        <f t="shared" si="84"/>
        <v/>
      </c>
      <c r="G1820" s="2" t="str">
        <f t="shared" si="85"/>
        <v/>
      </c>
      <c r="H1820" s="2" t="str">
        <f>IF(A1820="","",MIN('Loan Inputs'!$B$18,MAX(0,C1820+E1820-'Loan Inputs'!$B$17)))</f>
        <v/>
      </c>
    </row>
    <row r="1821" spans="1:8" ht="22" customHeight="1">
      <c r="A1821" s="1" t="str">
        <f>IF(AND('Loan Inputs'!$B$12,1815&lt;=IF('Loan Inputs'!$B$12,'Loan Inputs'!$B$7,0)*'Loan Inputs'!$B$14+5*'Loan Inputs'!$B$14,ISNUMBER(G1820),G1820&gt;0),1815,"")</f>
        <v/>
      </c>
      <c r="B1821" s="4" t="str">
        <f>IF(A1821="","",IF('Loan Inputs'!$B$14=12,DATE(YEAR('Loan Inputs'!$B$8),MONTH('Loan Inputs'!$B$8)+A1821,DAY('Loan Inputs'!$B$8)),'Loan Inputs'!$B$8+A1821*IF('Loan Inputs'!$B$14=26,14,7)))</f>
        <v/>
      </c>
      <c r="C1821" s="2" t="str">
        <f t="shared" si="86"/>
        <v/>
      </c>
      <c r="D1821" s="2" t="str">
        <f>IF(A1821="","",MIN('Loan Inputs'!$B$17,C1821+E1821)+H1821)</f>
        <v/>
      </c>
      <c r="E1821" s="2" t="str">
        <f>IF(A1821="","",C1821*'Loan Inputs'!$B$15)</f>
        <v/>
      </c>
      <c r="F1821" s="2" t="str">
        <f t="shared" si="84"/>
        <v/>
      </c>
      <c r="G1821" s="2" t="str">
        <f t="shared" si="85"/>
        <v/>
      </c>
      <c r="H1821" s="2" t="str">
        <f>IF(A1821="","",MIN('Loan Inputs'!$B$18,MAX(0,C1821+E1821-'Loan Inputs'!$B$17)))</f>
        <v/>
      </c>
    </row>
    <row r="1822" spans="1:8" ht="22" customHeight="1">
      <c r="A1822" s="1" t="str">
        <f>IF(AND('Loan Inputs'!$B$12,1816&lt;=IF('Loan Inputs'!$B$12,'Loan Inputs'!$B$7,0)*'Loan Inputs'!$B$14+5*'Loan Inputs'!$B$14,ISNUMBER(G1821),G1821&gt;0),1816,"")</f>
        <v/>
      </c>
      <c r="B1822" s="4" t="str">
        <f>IF(A1822="","",IF('Loan Inputs'!$B$14=12,DATE(YEAR('Loan Inputs'!$B$8),MONTH('Loan Inputs'!$B$8)+A1822,DAY('Loan Inputs'!$B$8)),'Loan Inputs'!$B$8+A1822*IF('Loan Inputs'!$B$14=26,14,7)))</f>
        <v/>
      </c>
      <c r="C1822" s="2" t="str">
        <f t="shared" si="86"/>
        <v/>
      </c>
      <c r="D1822" s="2" t="str">
        <f>IF(A1822="","",MIN('Loan Inputs'!$B$17,C1822+E1822)+H1822)</f>
        <v/>
      </c>
      <c r="E1822" s="2" t="str">
        <f>IF(A1822="","",C1822*'Loan Inputs'!$B$15)</f>
        <v/>
      </c>
      <c r="F1822" s="2" t="str">
        <f t="shared" si="84"/>
        <v/>
      </c>
      <c r="G1822" s="2" t="str">
        <f t="shared" si="85"/>
        <v/>
      </c>
      <c r="H1822" s="2" t="str">
        <f>IF(A1822="","",MIN('Loan Inputs'!$B$18,MAX(0,C1822+E1822-'Loan Inputs'!$B$17)))</f>
        <v/>
      </c>
    </row>
    <row r="1823" spans="1:8" ht="22" customHeight="1">
      <c r="A1823" s="1" t="str">
        <f>IF(AND('Loan Inputs'!$B$12,1817&lt;=IF('Loan Inputs'!$B$12,'Loan Inputs'!$B$7,0)*'Loan Inputs'!$B$14+5*'Loan Inputs'!$B$14,ISNUMBER(G1822),G1822&gt;0),1817,"")</f>
        <v/>
      </c>
      <c r="B1823" s="4" t="str">
        <f>IF(A1823="","",IF('Loan Inputs'!$B$14=12,DATE(YEAR('Loan Inputs'!$B$8),MONTH('Loan Inputs'!$B$8)+A1823,DAY('Loan Inputs'!$B$8)),'Loan Inputs'!$B$8+A1823*IF('Loan Inputs'!$B$14=26,14,7)))</f>
        <v/>
      </c>
      <c r="C1823" s="2" t="str">
        <f t="shared" si="86"/>
        <v/>
      </c>
      <c r="D1823" s="2" t="str">
        <f>IF(A1823="","",MIN('Loan Inputs'!$B$17,C1823+E1823)+H1823)</f>
        <v/>
      </c>
      <c r="E1823" s="2" t="str">
        <f>IF(A1823="","",C1823*'Loan Inputs'!$B$15)</f>
        <v/>
      </c>
      <c r="F1823" s="2" t="str">
        <f t="shared" si="84"/>
        <v/>
      </c>
      <c r="G1823" s="2" t="str">
        <f t="shared" si="85"/>
        <v/>
      </c>
      <c r="H1823" s="2" t="str">
        <f>IF(A1823="","",MIN('Loan Inputs'!$B$18,MAX(0,C1823+E1823-'Loan Inputs'!$B$17)))</f>
        <v/>
      </c>
    </row>
    <row r="1824" spans="1:8" ht="22" customHeight="1">
      <c r="A1824" s="1" t="str">
        <f>IF(AND('Loan Inputs'!$B$12,1818&lt;=IF('Loan Inputs'!$B$12,'Loan Inputs'!$B$7,0)*'Loan Inputs'!$B$14+5*'Loan Inputs'!$B$14,ISNUMBER(G1823),G1823&gt;0),1818,"")</f>
        <v/>
      </c>
      <c r="B1824" s="4" t="str">
        <f>IF(A1824="","",IF('Loan Inputs'!$B$14=12,DATE(YEAR('Loan Inputs'!$B$8),MONTH('Loan Inputs'!$B$8)+A1824,DAY('Loan Inputs'!$B$8)),'Loan Inputs'!$B$8+A1824*IF('Loan Inputs'!$B$14=26,14,7)))</f>
        <v/>
      </c>
      <c r="C1824" s="2" t="str">
        <f t="shared" si="86"/>
        <v/>
      </c>
      <c r="D1824" s="2" t="str">
        <f>IF(A1824="","",MIN('Loan Inputs'!$B$17,C1824+E1824)+H1824)</f>
        <v/>
      </c>
      <c r="E1824" s="2" t="str">
        <f>IF(A1824="","",C1824*'Loan Inputs'!$B$15)</f>
        <v/>
      </c>
      <c r="F1824" s="2" t="str">
        <f t="shared" si="84"/>
        <v/>
      </c>
      <c r="G1824" s="2" t="str">
        <f t="shared" si="85"/>
        <v/>
      </c>
      <c r="H1824" s="2" t="str">
        <f>IF(A1824="","",MIN('Loan Inputs'!$B$18,MAX(0,C1824+E1824-'Loan Inputs'!$B$17)))</f>
        <v/>
      </c>
    </row>
    <row r="1825" spans="1:8" ht="22" customHeight="1">
      <c r="A1825" s="1" t="str">
        <f>IF(AND('Loan Inputs'!$B$12,1819&lt;=IF('Loan Inputs'!$B$12,'Loan Inputs'!$B$7,0)*'Loan Inputs'!$B$14+5*'Loan Inputs'!$B$14,ISNUMBER(G1824),G1824&gt;0),1819,"")</f>
        <v/>
      </c>
      <c r="B1825" s="4" t="str">
        <f>IF(A1825="","",IF('Loan Inputs'!$B$14=12,DATE(YEAR('Loan Inputs'!$B$8),MONTH('Loan Inputs'!$B$8)+A1825,DAY('Loan Inputs'!$B$8)),'Loan Inputs'!$B$8+A1825*IF('Loan Inputs'!$B$14=26,14,7)))</f>
        <v/>
      </c>
      <c r="C1825" s="2" t="str">
        <f t="shared" si="86"/>
        <v/>
      </c>
      <c r="D1825" s="2" t="str">
        <f>IF(A1825="","",MIN('Loan Inputs'!$B$17,C1825+E1825)+H1825)</f>
        <v/>
      </c>
      <c r="E1825" s="2" t="str">
        <f>IF(A1825="","",C1825*'Loan Inputs'!$B$15)</f>
        <v/>
      </c>
      <c r="F1825" s="2" t="str">
        <f t="shared" si="84"/>
        <v/>
      </c>
      <c r="G1825" s="2" t="str">
        <f t="shared" si="85"/>
        <v/>
      </c>
      <c r="H1825" s="2" t="str">
        <f>IF(A1825="","",MIN('Loan Inputs'!$B$18,MAX(0,C1825+E1825-'Loan Inputs'!$B$17)))</f>
        <v/>
      </c>
    </row>
    <row r="1826" spans="1:8" ht="22" customHeight="1">
      <c r="A1826" s="1" t="str">
        <f>IF(AND('Loan Inputs'!$B$12,1820&lt;=IF('Loan Inputs'!$B$12,'Loan Inputs'!$B$7,0)*'Loan Inputs'!$B$14+5*'Loan Inputs'!$B$14,ISNUMBER(G1825),G1825&gt;0),1820,"")</f>
        <v/>
      </c>
      <c r="B1826" s="4" t="str">
        <f>IF(A1826="","",IF('Loan Inputs'!$B$14=12,DATE(YEAR('Loan Inputs'!$B$8),MONTH('Loan Inputs'!$B$8)+A1826,DAY('Loan Inputs'!$B$8)),'Loan Inputs'!$B$8+A1826*IF('Loan Inputs'!$B$14=26,14,7)))</f>
        <v/>
      </c>
      <c r="C1826" s="2" t="str">
        <f t="shared" si="86"/>
        <v/>
      </c>
      <c r="D1826" s="2" t="str">
        <f>IF(A1826="","",MIN('Loan Inputs'!$B$17,C1826+E1826)+H1826)</f>
        <v/>
      </c>
      <c r="E1826" s="2" t="str">
        <f>IF(A1826="","",C1826*'Loan Inputs'!$B$15)</f>
        <v/>
      </c>
      <c r="F1826" s="2" t="str">
        <f t="shared" si="84"/>
        <v/>
      </c>
      <c r="G1826" s="2" t="str">
        <f t="shared" si="85"/>
        <v/>
      </c>
      <c r="H1826" s="2" t="str">
        <f>IF(A1826="","",MIN('Loan Inputs'!$B$18,MAX(0,C1826+E1826-'Loan Inputs'!$B$17)))</f>
        <v/>
      </c>
    </row>
    <row r="1827" spans="1:8" ht="22" customHeight="1">
      <c r="A1827" s="1" t="str">
        <f>IF(AND('Loan Inputs'!$B$12,1821&lt;=IF('Loan Inputs'!$B$12,'Loan Inputs'!$B$7,0)*'Loan Inputs'!$B$14+5*'Loan Inputs'!$B$14,ISNUMBER(G1826),G1826&gt;0),1821,"")</f>
        <v/>
      </c>
      <c r="B1827" s="4" t="str">
        <f>IF(A1827="","",IF('Loan Inputs'!$B$14=12,DATE(YEAR('Loan Inputs'!$B$8),MONTH('Loan Inputs'!$B$8)+A1827,DAY('Loan Inputs'!$B$8)),'Loan Inputs'!$B$8+A1827*IF('Loan Inputs'!$B$14=26,14,7)))</f>
        <v/>
      </c>
      <c r="C1827" s="2" t="str">
        <f t="shared" si="86"/>
        <v/>
      </c>
      <c r="D1827" s="2" t="str">
        <f>IF(A1827="","",MIN('Loan Inputs'!$B$17,C1827+E1827)+H1827)</f>
        <v/>
      </c>
      <c r="E1827" s="2" t="str">
        <f>IF(A1827="","",C1827*'Loan Inputs'!$B$15)</f>
        <v/>
      </c>
      <c r="F1827" s="2" t="str">
        <f t="shared" si="84"/>
        <v/>
      </c>
      <c r="G1827" s="2" t="str">
        <f t="shared" si="85"/>
        <v/>
      </c>
      <c r="H1827" s="2" t="str">
        <f>IF(A1827="","",MIN('Loan Inputs'!$B$18,MAX(0,C1827+E1827-'Loan Inputs'!$B$17)))</f>
        <v/>
      </c>
    </row>
    <row r="1828" spans="1:8" ht="22" customHeight="1">
      <c r="A1828" s="1" t="str">
        <f>IF(AND('Loan Inputs'!$B$12,1822&lt;=IF('Loan Inputs'!$B$12,'Loan Inputs'!$B$7,0)*'Loan Inputs'!$B$14+5*'Loan Inputs'!$B$14,ISNUMBER(G1827),G1827&gt;0),1822,"")</f>
        <v/>
      </c>
      <c r="B1828" s="4" t="str">
        <f>IF(A1828="","",IF('Loan Inputs'!$B$14=12,DATE(YEAR('Loan Inputs'!$B$8),MONTH('Loan Inputs'!$B$8)+A1828,DAY('Loan Inputs'!$B$8)),'Loan Inputs'!$B$8+A1828*IF('Loan Inputs'!$B$14=26,14,7)))</f>
        <v/>
      </c>
      <c r="C1828" s="2" t="str">
        <f t="shared" si="86"/>
        <v/>
      </c>
      <c r="D1828" s="2" t="str">
        <f>IF(A1828="","",MIN('Loan Inputs'!$B$17,C1828+E1828)+H1828)</f>
        <v/>
      </c>
      <c r="E1828" s="2" t="str">
        <f>IF(A1828="","",C1828*'Loan Inputs'!$B$15)</f>
        <v/>
      </c>
      <c r="F1828" s="2" t="str">
        <f t="shared" si="84"/>
        <v/>
      </c>
      <c r="G1828" s="2" t="str">
        <f t="shared" si="85"/>
        <v/>
      </c>
      <c r="H1828" s="2" t="str">
        <f>IF(A1828="","",MIN('Loan Inputs'!$B$18,MAX(0,C1828+E1828-'Loan Inputs'!$B$17)))</f>
        <v/>
      </c>
    </row>
    <row r="1829" spans="1:8" ht="22" customHeight="1">
      <c r="A1829" s="1" t="str">
        <f>IF(AND('Loan Inputs'!$B$12,1823&lt;=IF('Loan Inputs'!$B$12,'Loan Inputs'!$B$7,0)*'Loan Inputs'!$B$14+5*'Loan Inputs'!$B$14,ISNUMBER(G1828),G1828&gt;0),1823,"")</f>
        <v/>
      </c>
      <c r="B1829" s="4" t="str">
        <f>IF(A1829="","",IF('Loan Inputs'!$B$14=12,DATE(YEAR('Loan Inputs'!$B$8),MONTH('Loan Inputs'!$B$8)+A1829,DAY('Loan Inputs'!$B$8)),'Loan Inputs'!$B$8+A1829*IF('Loan Inputs'!$B$14=26,14,7)))</f>
        <v/>
      </c>
      <c r="C1829" s="2" t="str">
        <f t="shared" si="86"/>
        <v/>
      </c>
      <c r="D1829" s="2" t="str">
        <f>IF(A1829="","",MIN('Loan Inputs'!$B$17,C1829+E1829)+H1829)</f>
        <v/>
      </c>
      <c r="E1829" s="2" t="str">
        <f>IF(A1829="","",C1829*'Loan Inputs'!$B$15)</f>
        <v/>
      </c>
      <c r="F1829" s="2" t="str">
        <f t="shared" si="84"/>
        <v/>
      </c>
      <c r="G1829" s="2" t="str">
        <f t="shared" si="85"/>
        <v/>
      </c>
      <c r="H1829" s="2" t="str">
        <f>IF(A1829="","",MIN('Loan Inputs'!$B$18,MAX(0,C1829+E1829-'Loan Inputs'!$B$17)))</f>
        <v/>
      </c>
    </row>
    <row r="1830" spans="1:8" ht="22" customHeight="1">
      <c r="A1830" s="1" t="str">
        <f>IF(AND('Loan Inputs'!$B$12,1824&lt;=IF('Loan Inputs'!$B$12,'Loan Inputs'!$B$7,0)*'Loan Inputs'!$B$14+5*'Loan Inputs'!$B$14,ISNUMBER(G1829),G1829&gt;0),1824,"")</f>
        <v/>
      </c>
      <c r="B1830" s="4" t="str">
        <f>IF(A1830="","",IF('Loan Inputs'!$B$14=12,DATE(YEAR('Loan Inputs'!$B$8),MONTH('Loan Inputs'!$B$8)+A1830,DAY('Loan Inputs'!$B$8)),'Loan Inputs'!$B$8+A1830*IF('Loan Inputs'!$B$14=26,14,7)))</f>
        <v/>
      </c>
      <c r="C1830" s="2" t="str">
        <f t="shared" si="86"/>
        <v/>
      </c>
      <c r="D1830" s="2" t="str">
        <f>IF(A1830="","",MIN('Loan Inputs'!$B$17,C1830+E1830)+H1830)</f>
        <v/>
      </c>
      <c r="E1830" s="2" t="str">
        <f>IF(A1830="","",C1830*'Loan Inputs'!$B$15)</f>
        <v/>
      </c>
      <c r="F1830" s="2" t="str">
        <f t="shared" si="84"/>
        <v/>
      </c>
      <c r="G1830" s="2" t="str">
        <f t="shared" si="85"/>
        <v/>
      </c>
      <c r="H1830" s="2" t="str">
        <f>IF(A1830="","",MIN('Loan Inputs'!$B$18,MAX(0,C1830+E1830-'Loan Inputs'!$B$17)))</f>
        <v/>
      </c>
    </row>
    <row r="1831" spans="1:8" ht="22" customHeight="1">
      <c r="A1831" s="1" t="str">
        <f>IF(AND('Loan Inputs'!$B$12,1825&lt;=IF('Loan Inputs'!$B$12,'Loan Inputs'!$B$7,0)*'Loan Inputs'!$B$14+5*'Loan Inputs'!$B$14,ISNUMBER(G1830),G1830&gt;0),1825,"")</f>
        <v/>
      </c>
      <c r="B1831" s="4" t="str">
        <f>IF(A1831="","",IF('Loan Inputs'!$B$14=12,DATE(YEAR('Loan Inputs'!$B$8),MONTH('Loan Inputs'!$B$8)+A1831,DAY('Loan Inputs'!$B$8)),'Loan Inputs'!$B$8+A1831*IF('Loan Inputs'!$B$14=26,14,7)))</f>
        <v/>
      </c>
      <c r="C1831" s="2" t="str">
        <f t="shared" si="86"/>
        <v/>
      </c>
      <c r="D1831" s="2" t="str">
        <f>IF(A1831="","",MIN('Loan Inputs'!$B$17,C1831+E1831)+H1831)</f>
        <v/>
      </c>
      <c r="E1831" s="2" t="str">
        <f>IF(A1831="","",C1831*'Loan Inputs'!$B$15)</f>
        <v/>
      </c>
      <c r="F1831" s="2" t="str">
        <f t="shared" si="84"/>
        <v/>
      </c>
      <c r="G1831" s="2" t="str">
        <f t="shared" si="85"/>
        <v/>
      </c>
      <c r="H1831" s="2" t="str">
        <f>IF(A1831="","",MIN('Loan Inputs'!$B$18,MAX(0,C1831+E1831-'Loan Inputs'!$B$17)))</f>
        <v/>
      </c>
    </row>
    <row r="1832" spans="1:8" ht="22" customHeight="1">
      <c r="A1832" s="1" t="str">
        <f>IF(AND('Loan Inputs'!$B$12,1826&lt;=IF('Loan Inputs'!$B$12,'Loan Inputs'!$B$7,0)*'Loan Inputs'!$B$14+5*'Loan Inputs'!$B$14,ISNUMBER(G1831),G1831&gt;0),1826,"")</f>
        <v/>
      </c>
      <c r="B1832" s="4" t="str">
        <f>IF(A1832="","",IF('Loan Inputs'!$B$14=12,DATE(YEAR('Loan Inputs'!$B$8),MONTH('Loan Inputs'!$B$8)+A1832,DAY('Loan Inputs'!$B$8)),'Loan Inputs'!$B$8+A1832*IF('Loan Inputs'!$B$14=26,14,7)))</f>
        <v/>
      </c>
      <c r="C1832" s="2" t="str">
        <f t="shared" si="86"/>
        <v/>
      </c>
      <c r="D1832" s="2" t="str">
        <f>IF(A1832="","",MIN('Loan Inputs'!$B$17,C1832+E1832)+H1832)</f>
        <v/>
      </c>
      <c r="E1832" s="2" t="str">
        <f>IF(A1832="","",C1832*'Loan Inputs'!$B$15)</f>
        <v/>
      </c>
      <c r="F1832" s="2" t="str">
        <f t="shared" si="84"/>
        <v/>
      </c>
      <c r="G1832" s="2" t="str">
        <f t="shared" si="85"/>
        <v/>
      </c>
      <c r="H1832" s="2" t="str">
        <f>IF(A1832="","",MIN('Loan Inputs'!$B$18,MAX(0,C1832+E1832-'Loan Inputs'!$B$17)))</f>
        <v/>
      </c>
    </row>
    <row r="1833" spans="1:8" ht="22" customHeight="1">
      <c r="A1833" s="1" t="str">
        <f>IF(AND('Loan Inputs'!$B$12,1827&lt;=IF('Loan Inputs'!$B$12,'Loan Inputs'!$B$7,0)*'Loan Inputs'!$B$14+5*'Loan Inputs'!$B$14,ISNUMBER(G1832),G1832&gt;0),1827,"")</f>
        <v/>
      </c>
      <c r="B1833" s="4" t="str">
        <f>IF(A1833="","",IF('Loan Inputs'!$B$14=12,DATE(YEAR('Loan Inputs'!$B$8),MONTH('Loan Inputs'!$B$8)+A1833,DAY('Loan Inputs'!$B$8)),'Loan Inputs'!$B$8+A1833*IF('Loan Inputs'!$B$14=26,14,7)))</f>
        <v/>
      </c>
      <c r="C1833" s="2" t="str">
        <f t="shared" si="86"/>
        <v/>
      </c>
      <c r="D1833" s="2" t="str">
        <f>IF(A1833="","",MIN('Loan Inputs'!$B$17,C1833+E1833)+H1833)</f>
        <v/>
      </c>
      <c r="E1833" s="2" t="str">
        <f>IF(A1833="","",C1833*'Loan Inputs'!$B$15)</f>
        <v/>
      </c>
      <c r="F1833" s="2" t="str">
        <f t="shared" si="84"/>
        <v/>
      </c>
      <c r="G1833" s="2" t="str">
        <f t="shared" si="85"/>
        <v/>
      </c>
      <c r="H1833" s="2" t="str">
        <f>IF(A1833="","",MIN('Loan Inputs'!$B$18,MAX(0,C1833+E1833-'Loan Inputs'!$B$17)))</f>
        <v/>
      </c>
    </row>
    <row r="1834" spans="1:8" ht="22" customHeight="1">
      <c r="A1834" s="1" t="str">
        <f>IF(AND('Loan Inputs'!$B$12,1828&lt;=IF('Loan Inputs'!$B$12,'Loan Inputs'!$B$7,0)*'Loan Inputs'!$B$14+5*'Loan Inputs'!$B$14,ISNUMBER(G1833),G1833&gt;0),1828,"")</f>
        <v/>
      </c>
      <c r="B1834" s="4" t="str">
        <f>IF(A1834="","",IF('Loan Inputs'!$B$14=12,DATE(YEAR('Loan Inputs'!$B$8),MONTH('Loan Inputs'!$B$8)+A1834,DAY('Loan Inputs'!$B$8)),'Loan Inputs'!$B$8+A1834*IF('Loan Inputs'!$B$14=26,14,7)))</f>
        <v/>
      </c>
      <c r="C1834" s="2" t="str">
        <f t="shared" si="86"/>
        <v/>
      </c>
      <c r="D1834" s="2" t="str">
        <f>IF(A1834="","",MIN('Loan Inputs'!$B$17,C1834+E1834)+H1834)</f>
        <v/>
      </c>
      <c r="E1834" s="2" t="str">
        <f>IF(A1834="","",C1834*'Loan Inputs'!$B$15)</f>
        <v/>
      </c>
      <c r="F1834" s="2" t="str">
        <f t="shared" si="84"/>
        <v/>
      </c>
      <c r="G1834" s="2" t="str">
        <f t="shared" si="85"/>
        <v/>
      </c>
      <c r="H1834" s="2" t="str">
        <f>IF(A1834="","",MIN('Loan Inputs'!$B$18,MAX(0,C1834+E1834-'Loan Inputs'!$B$17)))</f>
        <v/>
      </c>
    </row>
    <row r="1835" spans="1:8" ht="22" customHeight="1">
      <c r="A1835" s="1" t="str">
        <f>IF(AND('Loan Inputs'!$B$12,1829&lt;=IF('Loan Inputs'!$B$12,'Loan Inputs'!$B$7,0)*'Loan Inputs'!$B$14+5*'Loan Inputs'!$B$14,ISNUMBER(G1834),G1834&gt;0),1829,"")</f>
        <v/>
      </c>
      <c r="B1835" s="4" t="str">
        <f>IF(A1835="","",IF('Loan Inputs'!$B$14=12,DATE(YEAR('Loan Inputs'!$B$8),MONTH('Loan Inputs'!$B$8)+A1835,DAY('Loan Inputs'!$B$8)),'Loan Inputs'!$B$8+A1835*IF('Loan Inputs'!$B$14=26,14,7)))</f>
        <v/>
      </c>
      <c r="C1835" s="2" t="str">
        <f t="shared" si="86"/>
        <v/>
      </c>
      <c r="D1835" s="2" t="str">
        <f>IF(A1835="","",MIN('Loan Inputs'!$B$17,C1835+E1835)+H1835)</f>
        <v/>
      </c>
      <c r="E1835" s="2" t="str">
        <f>IF(A1835="","",C1835*'Loan Inputs'!$B$15)</f>
        <v/>
      </c>
      <c r="F1835" s="2" t="str">
        <f t="shared" si="84"/>
        <v/>
      </c>
      <c r="G1835" s="2" t="str">
        <f t="shared" si="85"/>
        <v/>
      </c>
      <c r="H1835" s="2" t="str">
        <f>IF(A1835="","",MIN('Loan Inputs'!$B$18,MAX(0,C1835+E1835-'Loan Inputs'!$B$17)))</f>
        <v/>
      </c>
    </row>
    <row r="1836" spans="1:8" ht="22" customHeight="1">
      <c r="A1836" s="1" t="str">
        <f>IF(AND('Loan Inputs'!$B$12,1830&lt;=IF('Loan Inputs'!$B$12,'Loan Inputs'!$B$7,0)*'Loan Inputs'!$B$14+5*'Loan Inputs'!$B$14,ISNUMBER(G1835),G1835&gt;0),1830,"")</f>
        <v/>
      </c>
      <c r="B1836" s="4" t="str">
        <f>IF(A1836="","",IF('Loan Inputs'!$B$14=12,DATE(YEAR('Loan Inputs'!$B$8),MONTH('Loan Inputs'!$B$8)+A1836,DAY('Loan Inputs'!$B$8)),'Loan Inputs'!$B$8+A1836*IF('Loan Inputs'!$B$14=26,14,7)))</f>
        <v/>
      </c>
      <c r="C1836" s="2" t="str">
        <f t="shared" si="86"/>
        <v/>
      </c>
      <c r="D1836" s="2" t="str">
        <f>IF(A1836="","",MIN('Loan Inputs'!$B$17,C1836+E1836)+H1836)</f>
        <v/>
      </c>
      <c r="E1836" s="2" t="str">
        <f>IF(A1836="","",C1836*'Loan Inputs'!$B$15)</f>
        <v/>
      </c>
      <c r="F1836" s="2" t="str">
        <f t="shared" si="84"/>
        <v/>
      </c>
      <c r="G1836" s="2" t="str">
        <f t="shared" si="85"/>
        <v/>
      </c>
      <c r="H1836" s="2" t="str">
        <f>IF(A1836="","",MIN('Loan Inputs'!$B$18,MAX(0,C1836+E1836-'Loan Inputs'!$B$17)))</f>
        <v/>
      </c>
    </row>
    <row r="1837" spans="1:8" ht="22" customHeight="1">
      <c r="A1837" s="1" t="str">
        <f>IF(AND('Loan Inputs'!$B$12,1831&lt;=IF('Loan Inputs'!$B$12,'Loan Inputs'!$B$7,0)*'Loan Inputs'!$B$14+5*'Loan Inputs'!$B$14,ISNUMBER(G1836),G1836&gt;0),1831,"")</f>
        <v/>
      </c>
      <c r="B1837" s="4" t="str">
        <f>IF(A1837="","",IF('Loan Inputs'!$B$14=12,DATE(YEAR('Loan Inputs'!$B$8),MONTH('Loan Inputs'!$B$8)+A1837,DAY('Loan Inputs'!$B$8)),'Loan Inputs'!$B$8+A1837*IF('Loan Inputs'!$B$14=26,14,7)))</f>
        <v/>
      </c>
      <c r="C1837" s="2" t="str">
        <f t="shared" si="86"/>
        <v/>
      </c>
      <c r="D1837" s="2" t="str">
        <f>IF(A1837="","",MIN('Loan Inputs'!$B$17,C1837+E1837)+H1837)</f>
        <v/>
      </c>
      <c r="E1837" s="2" t="str">
        <f>IF(A1837="","",C1837*'Loan Inputs'!$B$15)</f>
        <v/>
      </c>
      <c r="F1837" s="2" t="str">
        <f t="shared" si="84"/>
        <v/>
      </c>
      <c r="G1837" s="2" t="str">
        <f t="shared" si="85"/>
        <v/>
      </c>
      <c r="H1837" s="2" t="str">
        <f>IF(A1837="","",MIN('Loan Inputs'!$B$18,MAX(0,C1837+E1837-'Loan Inputs'!$B$17)))</f>
        <v/>
      </c>
    </row>
    <row r="1838" spans="1:8" ht="22" customHeight="1">
      <c r="A1838" s="1" t="str">
        <f>IF(AND('Loan Inputs'!$B$12,1832&lt;=IF('Loan Inputs'!$B$12,'Loan Inputs'!$B$7,0)*'Loan Inputs'!$B$14+5*'Loan Inputs'!$B$14,ISNUMBER(G1837),G1837&gt;0),1832,"")</f>
        <v/>
      </c>
      <c r="B1838" s="4" t="str">
        <f>IF(A1838="","",IF('Loan Inputs'!$B$14=12,DATE(YEAR('Loan Inputs'!$B$8),MONTH('Loan Inputs'!$B$8)+A1838,DAY('Loan Inputs'!$B$8)),'Loan Inputs'!$B$8+A1838*IF('Loan Inputs'!$B$14=26,14,7)))</f>
        <v/>
      </c>
      <c r="C1838" s="2" t="str">
        <f t="shared" si="86"/>
        <v/>
      </c>
      <c r="D1838" s="2" t="str">
        <f>IF(A1838="","",MIN('Loan Inputs'!$B$17,C1838+E1838)+H1838)</f>
        <v/>
      </c>
      <c r="E1838" s="2" t="str">
        <f>IF(A1838="","",C1838*'Loan Inputs'!$B$15)</f>
        <v/>
      </c>
      <c r="F1838" s="2" t="str">
        <f t="shared" si="84"/>
        <v/>
      </c>
      <c r="G1838" s="2" t="str">
        <f t="shared" si="85"/>
        <v/>
      </c>
      <c r="H1838" s="2" t="str">
        <f>IF(A1838="","",MIN('Loan Inputs'!$B$18,MAX(0,C1838+E1838-'Loan Inputs'!$B$17)))</f>
        <v/>
      </c>
    </row>
    <row r="1839" spans="1:8" ht="22" customHeight="1">
      <c r="A1839" s="1" t="str">
        <f>IF(AND('Loan Inputs'!$B$12,1833&lt;=IF('Loan Inputs'!$B$12,'Loan Inputs'!$B$7,0)*'Loan Inputs'!$B$14+5*'Loan Inputs'!$B$14,ISNUMBER(G1838),G1838&gt;0),1833,"")</f>
        <v/>
      </c>
      <c r="B1839" s="4" t="str">
        <f>IF(A1839="","",IF('Loan Inputs'!$B$14=12,DATE(YEAR('Loan Inputs'!$B$8),MONTH('Loan Inputs'!$B$8)+A1839,DAY('Loan Inputs'!$B$8)),'Loan Inputs'!$B$8+A1839*IF('Loan Inputs'!$B$14=26,14,7)))</f>
        <v/>
      </c>
      <c r="C1839" s="2" t="str">
        <f t="shared" si="86"/>
        <v/>
      </c>
      <c r="D1839" s="2" t="str">
        <f>IF(A1839="","",MIN('Loan Inputs'!$B$17,C1839+E1839)+H1839)</f>
        <v/>
      </c>
      <c r="E1839" s="2" t="str">
        <f>IF(A1839="","",C1839*'Loan Inputs'!$B$15)</f>
        <v/>
      </c>
      <c r="F1839" s="2" t="str">
        <f t="shared" si="84"/>
        <v/>
      </c>
      <c r="G1839" s="2" t="str">
        <f t="shared" si="85"/>
        <v/>
      </c>
      <c r="H1839" s="2" t="str">
        <f>IF(A1839="","",MIN('Loan Inputs'!$B$18,MAX(0,C1839+E1839-'Loan Inputs'!$B$17)))</f>
        <v/>
      </c>
    </row>
    <row r="1840" spans="1:8" ht="22" customHeight="1">
      <c r="A1840" s="1" t="str">
        <f>IF(AND('Loan Inputs'!$B$12,1834&lt;=IF('Loan Inputs'!$B$12,'Loan Inputs'!$B$7,0)*'Loan Inputs'!$B$14+5*'Loan Inputs'!$B$14,ISNUMBER(G1839),G1839&gt;0),1834,"")</f>
        <v/>
      </c>
      <c r="B1840" s="4" t="str">
        <f>IF(A1840="","",IF('Loan Inputs'!$B$14=12,DATE(YEAR('Loan Inputs'!$B$8),MONTH('Loan Inputs'!$B$8)+A1840,DAY('Loan Inputs'!$B$8)),'Loan Inputs'!$B$8+A1840*IF('Loan Inputs'!$B$14=26,14,7)))</f>
        <v/>
      </c>
      <c r="C1840" s="2" t="str">
        <f t="shared" si="86"/>
        <v/>
      </c>
      <c r="D1840" s="2" t="str">
        <f>IF(A1840="","",MIN('Loan Inputs'!$B$17,C1840+E1840)+H1840)</f>
        <v/>
      </c>
      <c r="E1840" s="2" t="str">
        <f>IF(A1840="","",C1840*'Loan Inputs'!$B$15)</f>
        <v/>
      </c>
      <c r="F1840" s="2" t="str">
        <f t="shared" si="84"/>
        <v/>
      </c>
      <c r="G1840" s="2" t="str">
        <f t="shared" si="85"/>
        <v/>
      </c>
      <c r="H1840" s="2" t="str">
        <f>IF(A1840="","",MIN('Loan Inputs'!$B$18,MAX(0,C1840+E1840-'Loan Inputs'!$B$17)))</f>
        <v/>
      </c>
    </row>
    <row r="1841" spans="1:8" ht="22" customHeight="1">
      <c r="A1841" s="1" t="str">
        <f>IF(AND('Loan Inputs'!$B$12,1835&lt;=IF('Loan Inputs'!$B$12,'Loan Inputs'!$B$7,0)*'Loan Inputs'!$B$14+5*'Loan Inputs'!$B$14,ISNUMBER(G1840),G1840&gt;0),1835,"")</f>
        <v/>
      </c>
      <c r="B1841" s="4" t="str">
        <f>IF(A1841="","",IF('Loan Inputs'!$B$14=12,DATE(YEAR('Loan Inputs'!$B$8),MONTH('Loan Inputs'!$B$8)+A1841,DAY('Loan Inputs'!$B$8)),'Loan Inputs'!$B$8+A1841*IF('Loan Inputs'!$B$14=26,14,7)))</f>
        <v/>
      </c>
      <c r="C1841" s="2" t="str">
        <f t="shared" si="86"/>
        <v/>
      </c>
      <c r="D1841" s="2" t="str">
        <f>IF(A1841="","",MIN('Loan Inputs'!$B$17,C1841+E1841)+H1841)</f>
        <v/>
      </c>
      <c r="E1841" s="2" t="str">
        <f>IF(A1841="","",C1841*'Loan Inputs'!$B$15)</f>
        <v/>
      </c>
      <c r="F1841" s="2" t="str">
        <f t="shared" si="84"/>
        <v/>
      </c>
      <c r="G1841" s="2" t="str">
        <f t="shared" si="85"/>
        <v/>
      </c>
      <c r="H1841" s="2" t="str">
        <f>IF(A1841="","",MIN('Loan Inputs'!$B$18,MAX(0,C1841+E1841-'Loan Inputs'!$B$17)))</f>
        <v/>
      </c>
    </row>
    <row r="1842" spans="1:8" ht="22" customHeight="1">
      <c r="A1842" s="1" t="str">
        <f>IF(AND('Loan Inputs'!$B$12,1836&lt;=IF('Loan Inputs'!$B$12,'Loan Inputs'!$B$7,0)*'Loan Inputs'!$B$14+5*'Loan Inputs'!$B$14,ISNUMBER(G1841),G1841&gt;0),1836,"")</f>
        <v/>
      </c>
      <c r="B1842" s="4" t="str">
        <f>IF(A1842="","",IF('Loan Inputs'!$B$14=12,DATE(YEAR('Loan Inputs'!$B$8),MONTH('Loan Inputs'!$B$8)+A1842,DAY('Loan Inputs'!$B$8)),'Loan Inputs'!$B$8+A1842*IF('Loan Inputs'!$B$14=26,14,7)))</f>
        <v/>
      </c>
      <c r="C1842" s="2" t="str">
        <f t="shared" si="86"/>
        <v/>
      </c>
      <c r="D1842" s="2" t="str">
        <f>IF(A1842="","",MIN('Loan Inputs'!$B$17,C1842+E1842)+H1842)</f>
        <v/>
      </c>
      <c r="E1842" s="2" t="str">
        <f>IF(A1842="","",C1842*'Loan Inputs'!$B$15)</f>
        <v/>
      </c>
      <c r="F1842" s="2" t="str">
        <f t="shared" si="84"/>
        <v/>
      </c>
      <c r="G1842" s="2" t="str">
        <f t="shared" si="85"/>
        <v/>
      </c>
      <c r="H1842" s="2" t="str">
        <f>IF(A1842="","",MIN('Loan Inputs'!$B$18,MAX(0,C1842+E1842-'Loan Inputs'!$B$17)))</f>
        <v/>
      </c>
    </row>
    <row r="1843" spans="1:8" ht="22" customHeight="1">
      <c r="A1843" s="1" t="str">
        <f>IF(AND('Loan Inputs'!$B$12,1837&lt;=IF('Loan Inputs'!$B$12,'Loan Inputs'!$B$7,0)*'Loan Inputs'!$B$14+5*'Loan Inputs'!$B$14,ISNUMBER(G1842),G1842&gt;0),1837,"")</f>
        <v/>
      </c>
      <c r="B1843" s="4" t="str">
        <f>IF(A1843="","",IF('Loan Inputs'!$B$14=12,DATE(YEAR('Loan Inputs'!$B$8),MONTH('Loan Inputs'!$B$8)+A1843,DAY('Loan Inputs'!$B$8)),'Loan Inputs'!$B$8+A1843*IF('Loan Inputs'!$B$14=26,14,7)))</f>
        <v/>
      </c>
      <c r="C1843" s="2" t="str">
        <f t="shared" si="86"/>
        <v/>
      </c>
      <c r="D1843" s="2" t="str">
        <f>IF(A1843="","",MIN('Loan Inputs'!$B$17,C1843+E1843)+H1843)</f>
        <v/>
      </c>
      <c r="E1843" s="2" t="str">
        <f>IF(A1843="","",C1843*'Loan Inputs'!$B$15)</f>
        <v/>
      </c>
      <c r="F1843" s="2" t="str">
        <f t="shared" si="84"/>
        <v/>
      </c>
      <c r="G1843" s="2" t="str">
        <f t="shared" si="85"/>
        <v/>
      </c>
      <c r="H1843" s="2" t="str">
        <f>IF(A1843="","",MIN('Loan Inputs'!$B$18,MAX(0,C1843+E1843-'Loan Inputs'!$B$17)))</f>
        <v/>
      </c>
    </row>
    <row r="1844" spans="1:8" ht="22" customHeight="1">
      <c r="A1844" s="1" t="str">
        <f>IF(AND('Loan Inputs'!$B$12,1838&lt;=IF('Loan Inputs'!$B$12,'Loan Inputs'!$B$7,0)*'Loan Inputs'!$B$14+5*'Loan Inputs'!$B$14,ISNUMBER(G1843),G1843&gt;0),1838,"")</f>
        <v/>
      </c>
      <c r="B1844" s="4" t="str">
        <f>IF(A1844="","",IF('Loan Inputs'!$B$14=12,DATE(YEAR('Loan Inputs'!$B$8),MONTH('Loan Inputs'!$B$8)+A1844,DAY('Loan Inputs'!$B$8)),'Loan Inputs'!$B$8+A1844*IF('Loan Inputs'!$B$14=26,14,7)))</f>
        <v/>
      </c>
      <c r="C1844" s="2" t="str">
        <f t="shared" si="86"/>
        <v/>
      </c>
      <c r="D1844" s="2" t="str">
        <f>IF(A1844="","",MIN('Loan Inputs'!$B$17,C1844+E1844)+H1844)</f>
        <v/>
      </c>
      <c r="E1844" s="2" t="str">
        <f>IF(A1844="","",C1844*'Loan Inputs'!$B$15)</f>
        <v/>
      </c>
      <c r="F1844" s="2" t="str">
        <f t="shared" si="84"/>
        <v/>
      </c>
      <c r="G1844" s="2" t="str">
        <f t="shared" si="85"/>
        <v/>
      </c>
      <c r="H1844" s="2" t="str">
        <f>IF(A1844="","",MIN('Loan Inputs'!$B$18,MAX(0,C1844+E1844-'Loan Inputs'!$B$17)))</f>
        <v/>
      </c>
    </row>
    <row r="1845" spans="1:8" ht="22" customHeight="1">
      <c r="A1845" s="1" t="str">
        <f>IF(AND('Loan Inputs'!$B$12,1839&lt;=IF('Loan Inputs'!$B$12,'Loan Inputs'!$B$7,0)*'Loan Inputs'!$B$14+5*'Loan Inputs'!$B$14,ISNUMBER(G1844),G1844&gt;0),1839,"")</f>
        <v/>
      </c>
      <c r="B1845" s="4" t="str">
        <f>IF(A1845="","",IF('Loan Inputs'!$B$14=12,DATE(YEAR('Loan Inputs'!$B$8),MONTH('Loan Inputs'!$B$8)+A1845,DAY('Loan Inputs'!$B$8)),'Loan Inputs'!$B$8+A1845*IF('Loan Inputs'!$B$14=26,14,7)))</f>
        <v/>
      </c>
      <c r="C1845" s="2" t="str">
        <f t="shared" si="86"/>
        <v/>
      </c>
      <c r="D1845" s="2" t="str">
        <f>IF(A1845="","",MIN('Loan Inputs'!$B$17,C1845+E1845)+H1845)</f>
        <v/>
      </c>
      <c r="E1845" s="2" t="str">
        <f>IF(A1845="","",C1845*'Loan Inputs'!$B$15)</f>
        <v/>
      </c>
      <c r="F1845" s="2" t="str">
        <f t="shared" si="84"/>
        <v/>
      </c>
      <c r="G1845" s="2" t="str">
        <f t="shared" si="85"/>
        <v/>
      </c>
      <c r="H1845" s="2" t="str">
        <f>IF(A1845="","",MIN('Loan Inputs'!$B$18,MAX(0,C1845+E1845-'Loan Inputs'!$B$17)))</f>
        <v/>
      </c>
    </row>
    <row r="1846" spans="1:8" ht="22" customHeight="1">
      <c r="A1846" s="1" t="str">
        <f>IF(AND('Loan Inputs'!$B$12,1840&lt;=IF('Loan Inputs'!$B$12,'Loan Inputs'!$B$7,0)*'Loan Inputs'!$B$14+5*'Loan Inputs'!$B$14,ISNUMBER(G1845),G1845&gt;0),1840,"")</f>
        <v/>
      </c>
      <c r="B1846" s="4" t="str">
        <f>IF(A1846="","",IF('Loan Inputs'!$B$14=12,DATE(YEAR('Loan Inputs'!$B$8),MONTH('Loan Inputs'!$B$8)+A1846,DAY('Loan Inputs'!$B$8)),'Loan Inputs'!$B$8+A1846*IF('Loan Inputs'!$B$14=26,14,7)))</f>
        <v/>
      </c>
      <c r="C1846" s="2" t="str">
        <f t="shared" si="86"/>
        <v/>
      </c>
      <c r="D1846" s="2" t="str">
        <f>IF(A1846="","",MIN('Loan Inputs'!$B$17,C1846+E1846)+H1846)</f>
        <v/>
      </c>
      <c r="E1846" s="2" t="str">
        <f>IF(A1846="","",C1846*'Loan Inputs'!$B$15)</f>
        <v/>
      </c>
      <c r="F1846" s="2" t="str">
        <f t="shared" si="84"/>
        <v/>
      </c>
      <c r="G1846" s="2" t="str">
        <f t="shared" si="85"/>
        <v/>
      </c>
      <c r="H1846" s="2" t="str">
        <f>IF(A1846="","",MIN('Loan Inputs'!$B$18,MAX(0,C1846+E1846-'Loan Inputs'!$B$17)))</f>
        <v/>
      </c>
    </row>
    <row r="1847" spans="1:8" ht="22" customHeight="1">
      <c r="A1847" s="1" t="str">
        <f>IF(AND('Loan Inputs'!$B$12,1841&lt;=IF('Loan Inputs'!$B$12,'Loan Inputs'!$B$7,0)*'Loan Inputs'!$B$14+5*'Loan Inputs'!$B$14,ISNUMBER(G1846),G1846&gt;0),1841,"")</f>
        <v/>
      </c>
      <c r="B1847" s="4" t="str">
        <f>IF(A1847="","",IF('Loan Inputs'!$B$14=12,DATE(YEAR('Loan Inputs'!$B$8),MONTH('Loan Inputs'!$B$8)+A1847,DAY('Loan Inputs'!$B$8)),'Loan Inputs'!$B$8+A1847*IF('Loan Inputs'!$B$14=26,14,7)))</f>
        <v/>
      </c>
      <c r="C1847" s="2" t="str">
        <f t="shared" si="86"/>
        <v/>
      </c>
      <c r="D1847" s="2" t="str">
        <f>IF(A1847="","",MIN('Loan Inputs'!$B$17,C1847+E1847)+H1847)</f>
        <v/>
      </c>
      <c r="E1847" s="2" t="str">
        <f>IF(A1847="","",C1847*'Loan Inputs'!$B$15)</f>
        <v/>
      </c>
      <c r="F1847" s="2" t="str">
        <f t="shared" si="84"/>
        <v/>
      </c>
      <c r="G1847" s="2" t="str">
        <f t="shared" si="85"/>
        <v/>
      </c>
      <c r="H1847" s="2" t="str">
        <f>IF(A1847="","",MIN('Loan Inputs'!$B$18,MAX(0,C1847+E1847-'Loan Inputs'!$B$17)))</f>
        <v/>
      </c>
    </row>
    <row r="1848" spans="1:8" ht="22" customHeight="1">
      <c r="A1848" s="1" t="str">
        <f>IF(AND('Loan Inputs'!$B$12,1842&lt;=IF('Loan Inputs'!$B$12,'Loan Inputs'!$B$7,0)*'Loan Inputs'!$B$14+5*'Loan Inputs'!$B$14,ISNUMBER(G1847),G1847&gt;0),1842,"")</f>
        <v/>
      </c>
      <c r="B1848" s="4" t="str">
        <f>IF(A1848="","",IF('Loan Inputs'!$B$14=12,DATE(YEAR('Loan Inputs'!$B$8),MONTH('Loan Inputs'!$B$8)+A1848,DAY('Loan Inputs'!$B$8)),'Loan Inputs'!$B$8+A1848*IF('Loan Inputs'!$B$14=26,14,7)))</f>
        <v/>
      </c>
      <c r="C1848" s="2" t="str">
        <f t="shared" si="86"/>
        <v/>
      </c>
      <c r="D1848" s="2" t="str">
        <f>IF(A1848="","",MIN('Loan Inputs'!$B$17,C1848+E1848)+H1848)</f>
        <v/>
      </c>
      <c r="E1848" s="2" t="str">
        <f>IF(A1848="","",C1848*'Loan Inputs'!$B$15)</f>
        <v/>
      </c>
      <c r="F1848" s="2" t="str">
        <f t="shared" si="84"/>
        <v/>
      </c>
      <c r="G1848" s="2" t="str">
        <f t="shared" si="85"/>
        <v/>
      </c>
      <c r="H1848" s="2" t="str">
        <f>IF(A1848="","",MIN('Loan Inputs'!$B$18,MAX(0,C1848+E1848-'Loan Inputs'!$B$17)))</f>
        <v/>
      </c>
    </row>
    <row r="1849" spans="1:8" ht="22" customHeight="1">
      <c r="A1849" s="1" t="str">
        <f>IF(AND('Loan Inputs'!$B$12,1843&lt;=IF('Loan Inputs'!$B$12,'Loan Inputs'!$B$7,0)*'Loan Inputs'!$B$14+5*'Loan Inputs'!$B$14,ISNUMBER(G1848),G1848&gt;0),1843,"")</f>
        <v/>
      </c>
      <c r="B1849" s="4" t="str">
        <f>IF(A1849="","",IF('Loan Inputs'!$B$14=12,DATE(YEAR('Loan Inputs'!$B$8),MONTH('Loan Inputs'!$B$8)+A1849,DAY('Loan Inputs'!$B$8)),'Loan Inputs'!$B$8+A1849*IF('Loan Inputs'!$B$14=26,14,7)))</f>
        <v/>
      </c>
      <c r="C1849" s="2" t="str">
        <f t="shared" si="86"/>
        <v/>
      </c>
      <c r="D1849" s="2" t="str">
        <f>IF(A1849="","",MIN('Loan Inputs'!$B$17,C1849+E1849)+H1849)</f>
        <v/>
      </c>
      <c r="E1849" s="2" t="str">
        <f>IF(A1849="","",C1849*'Loan Inputs'!$B$15)</f>
        <v/>
      </c>
      <c r="F1849" s="2" t="str">
        <f t="shared" si="84"/>
        <v/>
      </c>
      <c r="G1849" s="2" t="str">
        <f t="shared" si="85"/>
        <v/>
      </c>
      <c r="H1849" s="2" t="str">
        <f>IF(A1849="","",MIN('Loan Inputs'!$B$18,MAX(0,C1849+E1849-'Loan Inputs'!$B$17)))</f>
        <v/>
      </c>
    </row>
    <row r="1850" spans="1:8" ht="22" customHeight="1">
      <c r="A1850" s="1" t="str">
        <f>IF(AND('Loan Inputs'!$B$12,1844&lt;=IF('Loan Inputs'!$B$12,'Loan Inputs'!$B$7,0)*'Loan Inputs'!$B$14+5*'Loan Inputs'!$B$14,ISNUMBER(G1849),G1849&gt;0),1844,"")</f>
        <v/>
      </c>
      <c r="B1850" s="4" t="str">
        <f>IF(A1850="","",IF('Loan Inputs'!$B$14=12,DATE(YEAR('Loan Inputs'!$B$8),MONTH('Loan Inputs'!$B$8)+A1850,DAY('Loan Inputs'!$B$8)),'Loan Inputs'!$B$8+A1850*IF('Loan Inputs'!$B$14=26,14,7)))</f>
        <v/>
      </c>
      <c r="C1850" s="2" t="str">
        <f t="shared" si="86"/>
        <v/>
      </c>
      <c r="D1850" s="2" t="str">
        <f>IF(A1850="","",MIN('Loan Inputs'!$B$17,C1850+E1850)+H1850)</f>
        <v/>
      </c>
      <c r="E1850" s="2" t="str">
        <f>IF(A1850="","",C1850*'Loan Inputs'!$B$15)</f>
        <v/>
      </c>
      <c r="F1850" s="2" t="str">
        <f t="shared" si="84"/>
        <v/>
      </c>
      <c r="G1850" s="2" t="str">
        <f t="shared" si="85"/>
        <v/>
      </c>
      <c r="H1850" s="2" t="str">
        <f>IF(A1850="","",MIN('Loan Inputs'!$B$18,MAX(0,C1850+E1850-'Loan Inputs'!$B$17)))</f>
        <v/>
      </c>
    </row>
    <row r="1851" spans="1:8" ht="22" customHeight="1">
      <c r="A1851" s="1" t="str">
        <f>IF(AND('Loan Inputs'!$B$12,1845&lt;=IF('Loan Inputs'!$B$12,'Loan Inputs'!$B$7,0)*'Loan Inputs'!$B$14+5*'Loan Inputs'!$B$14,ISNUMBER(G1850),G1850&gt;0),1845,"")</f>
        <v/>
      </c>
      <c r="B1851" s="4" t="str">
        <f>IF(A1851="","",IF('Loan Inputs'!$B$14=12,DATE(YEAR('Loan Inputs'!$B$8),MONTH('Loan Inputs'!$B$8)+A1851,DAY('Loan Inputs'!$B$8)),'Loan Inputs'!$B$8+A1851*IF('Loan Inputs'!$B$14=26,14,7)))</f>
        <v/>
      </c>
      <c r="C1851" s="2" t="str">
        <f t="shared" si="86"/>
        <v/>
      </c>
      <c r="D1851" s="2" t="str">
        <f>IF(A1851="","",MIN('Loan Inputs'!$B$17,C1851+E1851)+H1851)</f>
        <v/>
      </c>
      <c r="E1851" s="2" t="str">
        <f>IF(A1851="","",C1851*'Loan Inputs'!$B$15)</f>
        <v/>
      </c>
      <c r="F1851" s="2" t="str">
        <f t="shared" si="84"/>
        <v/>
      </c>
      <c r="G1851" s="2" t="str">
        <f t="shared" si="85"/>
        <v/>
      </c>
      <c r="H1851" s="2" t="str">
        <f>IF(A1851="","",MIN('Loan Inputs'!$B$18,MAX(0,C1851+E1851-'Loan Inputs'!$B$17)))</f>
        <v/>
      </c>
    </row>
    <row r="1852" spans="1:8" ht="22" customHeight="1">
      <c r="A1852" s="1" t="str">
        <f>IF(AND('Loan Inputs'!$B$12,1846&lt;=IF('Loan Inputs'!$B$12,'Loan Inputs'!$B$7,0)*'Loan Inputs'!$B$14+5*'Loan Inputs'!$B$14,ISNUMBER(G1851),G1851&gt;0),1846,"")</f>
        <v/>
      </c>
      <c r="B1852" s="4" t="str">
        <f>IF(A1852="","",IF('Loan Inputs'!$B$14=12,DATE(YEAR('Loan Inputs'!$B$8),MONTH('Loan Inputs'!$B$8)+A1852,DAY('Loan Inputs'!$B$8)),'Loan Inputs'!$B$8+A1852*IF('Loan Inputs'!$B$14=26,14,7)))</f>
        <v/>
      </c>
      <c r="C1852" s="2" t="str">
        <f t="shared" si="86"/>
        <v/>
      </c>
      <c r="D1852" s="2" t="str">
        <f>IF(A1852="","",MIN('Loan Inputs'!$B$17,C1852+E1852)+H1852)</f>
        <v/>
      </c>
      <c r="E1852" s="2" t="str">
        <f>IF(A1852="","",C1852*'Loan Inputs'!$B$15)</f>
        <v/>
      </c>
      <c r="F1852" s="2" t="str">
        <f t="shared" si="84"/>
        <v/>
      </c>
      <c r="G1852" s="2" t="str">
        <f t="shared" si="85"/>
        <v/>
      </c>
      <c r="H1852" s="2" t="str">
        <f>IF(A1852="","",MIN('Loan Inputs'!$B$18,MAX(0,C1852+E1852-'Loan Inputs'!$B$17)))</f>
        <v/>
      </c>
    </row>
    <row r="1853" spans="1:8" ht="22" customHeight="1">
      <c r="A1853" s="1" t="str">
        <f>IF(AND('Loan Inputs'!$B$12,1847&lt;=IF('Loan Inputs'!$B$12,'Loan Inputs'!$B$7,0)*'Loan Inputs'!$B$14+5*'Loan Inputs'!$B$14,ISNUMBER(G1852),G1852&gt;0),1847,"")</f>
        <v/>
      </c>
      <c r="B1853" s="4" t="str">
        <f>IF(A1853="","",IF('Loan Inputs'!$B$14=12,DATE(YEAR('Loan Inputs'!$B$8),MONTH('Loan Inputs'!$B$8)+A1853,DAY('Loan Inputs'!$B$8)),'Loan Inputs'!$B$8+A1853*IF('Loan Inputs'!$B$14=26,14,7)))</f>
        <v/>
      </c>
      <c r="C1853" s="2" t="str">
        <f t="shared" si="86"/>
        <v/>
      </c>
      <c r="D1853" s="2" t="str">
        <f>IF(A1853="","",MIN('Loan Inputs'!$B$17,C1853+E1853)+H1853)</f>
        <v/>
      </c>
      <c r="E1853" s="2" t="str">
        <f>IF(A1853="","",C1853*'Loan Inputs'!$B$15)</f>
        <v/>
      </c>
      <c r="F1853" s="2" t="str">
        <f t="shared" si="84"/>
        <v/>
      </c>
      <c r="G1853" s="2" t="str">
        <f t="shared" si="85"/>
        <v/>
      </c>
      <c r="H1853" s="2" t="str">
        <f>IF(A1853="","",MIN('Loan Inputs'!$B$18,MAX(0,C1853+E1853-'Loan Inputs'!$B$17)))</f>
        <v/>
      </c>
    </row>
    <row r="1854" spans="1:8" ht="22" customHeight="1">
      <c r="A1854" s="1" t="str">
        <f>IF(AND('Loan Inputs'!$B$12,1848&lt;=IF('Loan Inputs'!$B$12,'Loan Inputs'!$B$7,0)*'Loan Inputs'!$B$14+5*'Loan Inputs'!$B$14,ISNUMBER(G1853),G1853&gt;0),1848,"")</f>
        <v/>
      </c>
      <c r="B1854" s="4" t="str">
        <f>IF(A1854="","",IF('Loan Inputs'!$B$14=12,DATE(YEAR('Loan Inputs'!$B$8),MONTH('Loan Inputs'!$B$8)+A1854,DAY('Loan Inputs'!$B$8)),'Loan Inputs'!$B$8+A1854*IF('Loan Inputs'!$B$14=26,14,7)))</f>
        <v/>
      </c>
      <c r="C1854" s="2" t="str">
        <f t="shared" si="86"/>
        <v/>
      </c>
      <c r="D1854" s="2" t="str">
        <f>IF(A1854="","",MIN('Loan Inputs'!$B$17,C1854+E1854)+H1854)</f>
        <v/>
      </c>
      <c r="E1854" s="2" t="str">
        <f>IF(A1854="","",C1854*'Loan Inputs'!$B$15)</f>
        <v/>
      </c>
      <c r="F1854" s="2" t="str">
        <f t="shared" si="84"/>
        <v/>
      </c>
      <c r="G1854" s="2" t="str">
        <f t="shared" si="85"/>
        <v/>
      </c>
      <c r="H1854" s="2" t="str">
        <f>IF(A1854="","",MIN('Loan Inputs'!$B$18,MAX(0,C1854+E1854-'Loan Inputs'!$B$17)))</f>
        <v/>
      </c>
    </row>
    <row r="1855" spans="1:8" ht="22" customHeight="1">
      <c r="A1855" s="1" t="str">
        <f>IF(AND('Loan Inputs'!$B$12,1849&lt;=IF('Loan Inputs'!$B$12,'Loan Inputs'!$B$7,0)*'Loan Inputs'!$B$14+5*'Loan Inputs'!$B$14,ISNUMBER(G1854),G1854&gt;0),1849,"")</f>
        <v/>
      </c>
      <c r="B1855" s="4" t="str">
        <f>IF(A1855="","",IF('Loan Inputs'!$B$14=12,DATE(YEAR('Loan Inputs'!$B$8),MONTH('Loan Inputs'!$B$8)+A1855,DAY('Loan Inputs'!$B$8)),'Loan Inputs'!$B$8+A1855*IF('Loan Inputs'!$B$14=26,14,7)))</f>
        <v/>
      </c>
      <c r="C1855" s="2" t="str">
        <f t="shared" si="86"/>
        <v/>
      </c>
      <c r="D1855" s="2" t="str">
        <f>IF(A1855="","",MIN('Loan Inputs'!$B$17,C1855+E1855)+H1855)</f>
        <v/>
      </c>
      <c r="E1855" s="2" t="str">
        <f>IF(A1855="","",C1855*'Loan Inputs'!$B$15)</f>
        <v/>
      </c>
      <c r="F1855" s="2" t="str">
        <f t="shared" si="84"/>
        <v/>
      </c>
      <c r="G1855" s="2" t="str">
        <f t="shared" si="85"/>
        <v/>
      </c>
      <c r="H1855" s="2" t="str">
        <f>IF(A1855="","",MIN('Loan Inputs'!$B$18,MAX(0,C1855+E1855-'Loan Inputs'!$B$17)))</f>
        <v/>
      </c>
    </row>
    <row r="1856" spans="1:8" ht="22" customHeight="1">
      <c r="A1856" s="1" t="str">
        <f>IF(AND('Loan Inputs'!$B$12,1850&lt;=IF('Loan Inputs'!$B$12,'Loan Inputs'!$B$7,0)*'Loan Inputs'!$B$14+5*'Loan Inputs'!$B$14,ISNUMBER(G1855),G1855&gt;0),1850,"")</f>
        <v/>
      </c>
      <c r="B1856" s="4" t="str">
        <f>IF(A1856="","",IF('Loan Inputs'!$B$14=12,DATE(YEAR('Loan Inputs'!$B$8),MONTH('Loan Inputs'!$B$8)+A1856,DAY('Loan Inputs'!$B$8)),'Loan Inputs'!$B$8+A1856*IF('Loan Inputs'!$B$14=26,14,7)))</f>
        <v/>
      </c>
      <c r="C1856" s="2" t="str">
        <f t="shared" si="86"/>
        <v/>
      </c>
      <c r="D1856" s="2" t="str">
        <f>IF(A1856="","",MIN('Loan Inputs'!$B$17,C1856+E1856)+H1856)</f>
        <v/>
      </c>
      <c r="E1856" s="2" t="str">
        <f>IF(A1856="","",C1856*'Loan Inputs'!$B$15)</f>
        <v/>
      </c>
      <c r="F1856" s="2" t="str">
        <f t="shared" si="84"/>
        <v/>
      </c>
      <c r="G1856" s="2" t="str">
        <f t="shared" si="85"/>
        <v/>
      </c>
      <c r="H1856" s="2" t="str">
        <f>IF(A1856="","",MIN('Loan Inputs'!$B$18,MAX(0,C1856+E1856-'Loan Inputs'!$B$17)))</f>
        <v/>
      </c>
    </row>
    <row r="1857" spans="1:8" ht="22" customHeight="1">
      <c r="A1857" s="1" t="str">
        <f>IF(AND('Loan Inputs'!$B$12,1851&lt;=IF('Loan Inputs'!$B$12,'Loan Inputs'!$B$7,0)*'Loan Inputs'!$B$14+5*'Loan Inputs'!$B$14,ISNUMBER(G1856),G1856&gt;0),1851,"")</f>
        <v/>
      </c>
      <c r="B1857" s="4" t="str">
        <f>IF(A1857="","",IF('Loan Inputs'!$B$14=12,DATE(YEAR('Loan Inputs'!$B$8),MONTH('Loan Inputs'!$B$8)+A1857,DAY('Loan Inputs'!$B$8)),'Loan Inputs'!$B$8+A1857*IF('Loan Inputs'!$B$14=26,14,7)))</f>
        <v/>
      </c>
      <c r="C1857" s="2" t="str">
        <f t="shared" si="86"/>
        <v/>
      </c>
      <c r="D1857" s="2" t="str">
        <f>IF(A1857="","",MIN('Loan Inputs'!$B$17,C1857+E1857)+H1857)</f>
        <v/>
      </c>
      <c r="E1857" s="2" t="str">
        <f>IF(A1857="","",C1857*'Loan Inputs'!$B$15)</f>
        <v/>
      </c>
      <c r="F1857" s="2" t="str">
        <f t="shared" si="84"/>
        <v/>
      </c>
      <c r="G1857" s="2" t="str">
        <f t="shared" si="85"/>
        <v/>
      </c>
      <c r="H1857" s="2" t="str">
        <f>IF(A1857="","",MIN('Loan Inputs'!$B$18,MAX(0,C1857+E1857-'Loan Inputs'!$B$17)))</f>
        <v/>
      </c>
    </row>
    <row r="1858" spans="1:8" ht="22" customHeight="1">
      <c r="A1858" s="1" t="str">
        <f>IF(AND('Loan Inputs'!$B$12,1852&lt;=IF('Loan Inputs'!$B$12,'Loan Inputs'!$B$7,0)*'Loan Inputs'!$B$14+5*'Loan Inputs'!$B$14,ISNUMBER(G1857),G1857&gt;0),1852,"")</f>
        <v/>
      </c>
      <c r="B1858" s="4" t="str">
        <f>IF(A1858="","",IF('Loan Inputs'!$B$14=12,DATE(YEAR('Loan Inputs'!$B$8),MONTH('Loan Inputs'!$B$8)+A1858,DAY('Loan Inputs'!$B$8)),'Loan Inputs'!$B$8+A1858*IF('Loan Inputs'!$B$14=26,14,7)))</f>
        <v/>
      </c>
      <c r="C1858" s="2" t="str">
        <f t="shared" si="86"/>
        <v/>
      </c>
      <c r="D1858" s="2" t="str">
        <f>IF(A1858="","",MIN('Loan Inputs'!$B$17,C1858+E1858)+H1858)</f>
        <v/>
      </c>
      <c r="E1858" s="2" t="str">
        <f>IF(A1858="","",C1858*'Loan Inputs'!$B$15)</f>
        <v/>
      </c>
      <c r="F1858" s="2" t="str">
        <f t="shared" si="84"/>
        <v/>
      </c>
      <c r="G1858" s="2" t="str">
        <f t="shared" si="85"/>
        <v/>
      </c>
      <c r="H1858" s="2" t="str">
        <f>IF(A1858="","",MIN('Loan Inputs'!$B$18,MAX(0,C1858+E1858-'Loan Inputs'!$B$17)))</f>
        <v/>
      </c>
    </row>
    <row r="1859" spans="1:8" ht="22" customHeight="1">
      <c r="A1859" s="1" t="str">
        <f>IF(AND('Loan Inputs'!$B$12,1853&lt;=IF('Loan Inputs'!$B$12,'Loan Inputs'!$B$7,0)*'Loan Inputs'!$B$14+5*'Loan Inputs'!$B$14,ISNUMBER(G1858),G1858&gt;0),1853,"")</f>
        <v/>
      </c>
      <c r="B1859" s="4" t="str">
        <f>IF(A1859="","",IF('Loan Inputs'!$B$14=12,DATE(YEAR('Loan Inputs'!$B$8),MONTH('Loan Inputs'!$B$8)+A1859,DAY('Loan Inputs'!$B$8)),'Loan Inputs'!$B$8+A1859*IF('Loan Inputs'!$B$14=26,14,7)))</f>
        <v/>
      </c>
      <c r="C1859" s="2" t="str">
        <f t="shared" si="86"/>
        <v/>
      </c>
      <c r="D1859" s="2" t="str">
        <f>IF(A1859="","",MIN('Loan Inputs'!$B$17,C1859+E1859)+H1859)</f>
        <v/>
      </c>
      <c r="E1859" s="2" t="str">
        <f>IF(A1859="","",C1859*'Loan Inputs'!$B$15)</f>
        <v/>
      </c>
      <c r="F1859" s="2" t="str">
        <f t="shared" si="84"/>
        <v/>
      </c>
      <c r="G1859" s="2" t="str">
        <f t="shared" si="85"/>
        <v/>
      </c>
      <c r="H1859" s="2" t="str">
        <f>IF(A1859="","",MIN('Loan Inputs'!$B$18,MAX(0,C1859+E1859-'Loan Inputs'!$B$17)))</f>
        <v/>
      </c>
    </row>
    <row r="1860" spans="1:8" ht="22" customHeight="1">
      <c r="A1860" s="1" t="str">
        <f>IF(AND('Loan Inputs'!$B$12,1854&lt;=IF('Loan Inputs'!$B$12,'Loan Inputs'!$B$7,0)*'Loan Inputs'!$B$14+5*'Loan Inputs'!$B$14,ISNUMBER(G1859),G1859&gt;0),1854,"")</f>
        <v/>
      </c>
      <c r="B1860" s="4" t="str">
        <f>IF(A1860="","",IF('Loan Inputs'!$B$14=12,DATE(YEAR('Loan Inputs'!$B$8),MONTH('Loan Inputs'!$B$8)+A1860,DAY('Loan Inputs'!$B$8)),'Loan Inputs'!$B$8+A1860*IF('Loan Inputs'!$B$14=26,14,7)))</f>
        <v/>
      </c>
      <c r="C1860" s="2" t="str">
        <f t="shared" si="86"/>
        <v/>
      </c>
      <c r="D1860" s="2" t="str">
        <f>IF(A1860="","",MIN('Loan Inputs'!$B$17,C1860+E1860)+H1860)</f>
        <v/>
      </c>
      <c r="E1860" s="2" t="str">
        <f>IF(A1860="","",C1860*'Loan Inputs'!$B$15)</f>
        <v/>
      </c>
      <c r="F1860" s="2" t="str">
        <f t="shared" si="84"/>
        <v/>
      </c>
      <c r="G1860" s="2" t="str">
        <f t="shared" si="85"/>
        <v/>
      </c>
      <c r="H1860" s="2" t="str">
        <f>IF(A1860="","",MIN('Loan Inputs'!$B$18,MAX(0,C1860+E1860-'Loan Inputs'!$B$17)))</f>
        <v/>
      </c>
    </row>
    <row r="1861" spans="1:8" ht="22" customHeight="1">
      <c r="A1861" s="1" t="str">
        <f>IF(AND('Loan Inputs'!$B$12,1855&lt;=IF('Loan Inputs'!$B$12,'Loan Inputs'!$B$7,0)*'Loan Inputs'!$B$14+5*'Loan Inputs'!$B$14,ISNUMBER(G1860),G1860&gt;0),1855,"")</f>
        <v/>
      </c>
      <c r="B1861" s="4" t="str">
        <f>IF(A1861="","",IF('Loan Inputs'!$B$14=12,DATE(YEAR('Loan Inputs'!$B$8),MONTH('Loan Inputs'!$B$8)+A1861,DAY('Loan Inputs'!$B$8)),'Loan Inputs'!$B$8+A1861*IF('Loan Inputs'!$B$14=26,14,7)))</f>
        <v/>
      </c>
      <c r="C1861" s="2" t="str">
        <f t="shared" si="86"/>
        <v/>
      </c>
      <c r="D1861" s="2" t="str">
        <f>IF(A1861="","",MIN('Loan Inputs'!$B$17,C1861+E1861)+H1861)</f>
        <v/>
      </c>
      <c r="E1861" s="2" t="str">
        <f>IF(A1861="","",C1861*'Loan Inputs'!$B$15)</f>
        <v/>
      </c>
      <c r="F1861" s="2" t="str">
        <f t="shared" si="84"/>
        <v/>
      </c>
      <c r="G1861" s="2" t="str">
        <f t="shared" si="85"/>
        <v/>
      </c>
      <c r="H1861" s="2" t="str">
        <f>IF(A1861="","",MIN('Loan Inputs'!$B$18,MAX(0,C1861+E1861-'Loan Inputs'!$B$17)))</f>
        <v/>
      </c>
    </row>
    <row r="1862" spans="1:8" ht="22" customHeight="1">
      <c r="A1862" s="1" t="str">
        <f>IF(AND('Loan Inputs'!$B$12,1856&lt;=IF('Loan Inputs'!$B$12,'Loan Inputs'!$B$7,0)*'Loan Inputs'!$B$14+5*'Loan Inputs'!$B$14,ISNUMBER(G1861),G1861&gt;0),1856,"")</f>
        <v/>
      </c>
      <c r="B1862" s="4" t="str">
        <f>IF(A1862="","",IF('Loan Inputs'!$B$14=12,DATE(YEAR('Loan Inputs'!$B$8),MONTH('Loan Inputs'!$B$8)+A1862,DAY('Loan Inputs'!$B$8)),'Loan Inputs'!$B$8+A1862*IF('Loan Inputs'!$B$14=26,14,7)))</f>
        <v/>
      </c>
      <c r="C1862" s="2" t="str">
        <f t="shared" si="86"/>
        <v/>
      </c>
      <c r="D1862" s="2" t="str">
        <f>IF(A1862="","",MIN('Loan Inputs'!$B$17,C1862+E1862)+H1862)</f>
        <v/>
      </c>
      <c r="E1862" s="2" t="str">
        <f>IF(A1862="","",C1862*'Loan Inputs'!$B$15)</f>
        <v/>
      </c>
      <c r="F1862" s="2" t="str">
        <f t="shared" si="84"/>
        <v/>
      </c>
      <c r="G1862" s="2" t="str">
        <f t="shared" si="85"/>
        <v/>
      </c>
      <c r="H1862" s="2" t="str">
        <f>IF(A1862="","",MIN('Loan Inputs'!$B$18,MAX(0,C1862+E1862-'Loan Inputs'!$B$17)))</f>
        <v/>
      </c>
    </row>
    <row r="1863" spans="1:8" ht="22" customHeight="1">
      <c r="A1863" s="1" t="str">
        <f>IF(AND('Loan Inputs'!$B$12,1857&lt;=IF('Loan Inputs'!$B$12,'Loan Inputs'!$B$7,0)*'Loan Inputs'!$B$14+5*'Loan Inputs'!$B$14,ISNUMBER(G1862),G1862&gt;0),1857,"")</f>
        <v/>
      </c>
      <c r="B1863" s="4" t="str">
        <f>IF(A1863="","",IF('Loan Inputs'!$B$14=12,DATE(YEAR('Loan Inputs'!$B$8),MONTH('Loan Inputs'!$B$8)+A1863,DAY('Loan Inputs'!$B$8)),'Loan Inputs'!$B$8+A1863*IF('Loan Inputs'!$B$14=26,14,7)))</f>
        <v/>
      </c>
      <c r="C1863" s="2" t="str">
        <f t="shared" si="86"/>
        <v/>
      </c>
      <c r="D1863" s="2" t="str">
        <f>IF(A1863="","",MIN('Loan Inputs'!$B$17,C1863+E1863)+H1863)</f>
        <v/>
      </c>
      <c r="E1863" s="2" t="str">
        <f>IF(A1863="","",C1863*'Loan Inputs'!$B$15)</f>
        <v/>
      </c>
      <c r="F1863" s="2" t="str">
        <f t="shared" ref="F1863:F1926" si="87">IF(A1863="","",MIN(C1863,D1863-E1863))</f>
        <v/>
      </c>
      <c r="G1863" s="2" t="str">
        <f t="shared" ref="G1863:G1926" si="88">IF(A1863="","",IF(C1863-F1863&lt;0.0000001,0,MAX(0,C1863-F1863)))</f>
        <v/>
      </c>
      <c r="H1863" s="2" t="str">
        <f>IF(A1863="","",MIN('Loan Inputs'!$B$18,MAX(0,C1863+E1863-'Loan Inputs'!$B$17)))</f>
        <v/>
      </c>
    </row>
    <row r="1864" spans="1:8" ht="22" customHeight="1">
      <c r="A1864" s="1" t="str">
        <f>IF(AND('Loan Inputs'!$B$12,1858&lt;=IF('Loan Inputs'!$B$12,'Loan Inputs'!$B$7,0)*'Loan Inputs'!$B$14+5*'Loan Inputs'!$B$14,ISNUMBER(G1863),G1863&gt;0),1858,"")</f>
        <v/>
      </c>
      <c r="B1864" s="4" t="str">
        <f>IF(A1864="","",IF('Loan Inputs'!$B$14=12,DATE(YEAR('Loan Inputs'!$B$8),MONTH('Loan Inputs'!$B$8)+A1864,DAY('Loan Inputs'!$B$8)),'Loan Inputs'!$B$8+A1864*IF('Loan Inputs'!$B$14=26,14,7)))</f>
        <v/>
      </c>
      <c r="C1864" s="2" t="str">
        <f t="shared" ref="C1864:C1927" si="89">IF(A1864="","",G1863)</f>
        <v/>
      </c>
      <c r="D1864" s="2" t="str">
        <f>IF(A1864="","",MIN('Loan Inputs'!$B$17,C1864+E1864)+H1864)</f>
        <v/>
      </c>
      <c r="E1864" s="2" t="str">
        <f>IF(A1864="","",C1864*'Loan Inputs'!$B$15)</f>
        <v/>
      </c>
      <c r="F1864" s="2" t="str">
        <f t="shared" si="87"/>
        <v/>
      </c>
      <c r="G1864" s="2" t="str">
        <f t="shared" si="88"/>
        <v/>
      </c>
      <c r="H1864" s="2" t="str">
        <f>IF(A1864="","",MIN('Loan Inputs'!$B$18,MAX(0,C1864+E1864-'Loan Inputs'!$B$17)))</f>
        <v/>
      </c>
    </row>
    <row r="1865" spans="1:8" ht="22" customHeight="1">
      <c r="A1865" s="1" t="str">
        <f>IF(AND('Loan Inputs'!$B$12,1859&lt;=IF('Loan Inputs'!$B$12,'Loan Inputs'!$B$7,0)*'Loan Inputs'!$B$14+5*'Loan Inputs'!$B$14,ISNUMBER(G1864),G1864&gt;0),1859,"")</f>
        <v/>
      </c>
      <c r="B1865" s="4" t="str">
        <f>IF(A1865="","",IF('Loan Inputs'!$B$14=12,DATE(YEAR('Loan Inputs'!$B$8),MONTH('Loan Inputs'!$B$8)+A1865,DAY('Loan Inputs'!$B$8)),'Loan Inputs'!$B$8+A1865*IF('Loan Inputs'!$B$14=26,14,7)))</f>
        <v/>
      </c>
      <c r="C1865" s="2" t="str">
        <f t="shared" si="89"/>
        <v/>
      </c>
      <c r="D1865" s="2" t="str">
        <f>IF(A1865="","",MIN('Loan Inputs'!$B$17,C1865+E1865)+H1865)</f>
        <v/>
      </c>
      <c r="E1865" s="2" t="str">
        <f>IF(A1865="","",C1865*'Loan Inputs'!$B$15)</f>
        <v/>
      </c>
      <c r="F1865" s="2" t="str">
        <f t="shared" si="87"/>
        <v/>
      </c>
      <c r="G1865" s="2" t="str">
        <f t="shared" si="88"/>
        <v/>
      </c>
      <c r="H1865" s="2" t="str">
        <f>IF(A1865="","",MIN('Loan Inputs'!$B$18,MAX(0,C1865+E1865-'Loan Inputs'!$B$17)))</f>
        <v/>
      </c>
    </row>
    <row r="1866" spans="1:8" ht="22" customHeight="1">
      <c r="A1866" s="1" t="str">
        <f>IF(AND('Loan Inputs'!$B$12,1860&lt;=IF('Loan Inputs'!$B$12,'Loan Inputs'!$B$7,0)*'Loan Inputs'!$B$14+5*'Loan Inputs'!$B$14,ISNUMBER(G1865),G1865&gt;0),1860,"")</f>
        <v/>
      </c>
      <c r="B1866" s="4" t="str">
        <f>IF(A1866="","",IF('Loan Inputs'!$B$14=12,DATE(YEAR('Loan Inputs'!$B$8),MONTH('Loan Inputs'!$B$8)+A1866,DAY('Loan Inputs'!$B$8)),'Loan Inputs'!$B$8+A1866*IF('Loan Inputs'!$B$14=26,14,7)))</f>
        <v/>
      </c>
      <c r="C1866" s="2" t="str">
        <f t="shared" si="89"/>
        <v/>
      </c>
      <c r="D1866" s="2" t="str">
        <f>IF(A1866="","",MIN('Loan Inputs'!$B$17,C1866+E1866)+H1866)</f>
        <v/>
      </c>
      <c r="E1866" s="2" t="str">
        <f>IF(A1866="","",C1866*'Loan Inputs'!$B$15)</f>
        <v/>
      </c>
      <c r="F1866" s="2" t="str">
        <f t="shared" si="87"/>
        <v/>
      </c>
      <c r="G1866" s="2" t="str">
        <f t="shared" si="88"/>
        <v/>
      </c>
      <c r="H1866" s="2" t="str">
        <f>IF(A1866="","",MIN('Loan Inputs'!$B$18,MAX(0,C1866+E1866-'Loan Inputs'!$B$17)))</f>
        <v/>
      </c>
    </row>
    <row r="1867" spans="1:8" ht="22" customHeight="1">
      <c r="A1867" s="1" t="str">
        <f>IF(AND('Loan Inputs'!$B$12,1861&lt;=IF('Loan Inputs'!$B$12,'Loan Inputs'!$B$7,0)*'Loan Inputs'!$B$14+5*'Loan Inputs'!$B$14,ISNUMBER(G1866),G1866&gt;0),1861,"")</f>
        <v/>
      </c>
      <c r="B1867" s="4" t="str">
        <f>IF(A1867="","",IF('Loan Inputs'!$B$14=12,DATE(YEAR('Loan Inputs'!$B$8),MONTH('Loan Inputs'!$B$8)+A1867,DAY('Loan Inputs'!$B$8)),'Loan Inputs'!$B$8+A1867*IF('Loan Inputs'!$B$14=26,14,7)))</f>
        <v/>
      </c>
      <c r="C1867" s="2" t="str">
        <f t="shared" si="89"/>
        <v/>
      </c>
      <c r="D1867" s="2" t="str">
        <f>IF(A1867="","",MIN('Loan Inputs'!$B$17,C1867+E1867)+H1867)</f>
        <v/>
      </c>
      <c r="E1867" s="2" t="str">
        <f>IF(A1867="","",C1867*'Loan Inputs'!$B$15)</f>
        <v/>
      </c>
      <c r="F1867" s="2" t="str">
        <f t="shared" si="87"/>
        <v/>
      </c>
      <c r="G1867" s="2" t="str">
        <f t="shared" si="88"/>
        <v/>
      </c>
      <c r="H1867" s="2" t="str">
        <f>IF(A1867="","",MIN('Loan Inputs'!$B$18,MAX(0,C1867+E1867-'Loan Inputs'!$B$17)))</f>
        <v/>
      </c>
    </row>
    <row r="1868" spans="1:8" ht="22" customHeight="1">
      <c r="A1868" s="1" t="str">
        <f>IF(AND('Loan Inputs'!$B$12,1862&lt;=IF('Loan Inputs'!$B$12,'Loan Inputs'!$B$7,0)*'Loan Inputs'!$B$14+5*'Loan Inputs'!$B$14,ISNUMBER(G1867),G1867&gt;0),1862,"")</f>
        <v/>
      </c>
      <c r="B1868" s="4" t="str">
        <f>IF(A1868="","",IF('Loan Inputs'!$B$14=12,DATE(YEAR('Loan Inputs'!$B$8),MONTH('Loan Inputs'!$B$8)+A1868,DAY('Loan Inputs'!$B$8)),'Loan Inputs'!$B$8+A1868*IF('Loan Inputs'!$B$14=26,14,7)))</f>
        <v/>
      </c>
      <c r="C1868" s="2" t="str">
        <f t="shared" si="89"/>
        <v/>
      </c>
      <c r="D1868" s="2" t="str">
        <f>IF(A1868="","",MIN('Loan Inputs'!$B$17,C1868+E1868)+H1868)</f>
        <v/>
      </c>
      <c r="E1868" s="2" t="str">
        <f>IF(A1868="","",C1868*'Loan Inputs'!$B$15)</f>
        <v/>
      </c>
      <c r="F1868" s="2" t="str">
        <f t="shared" si="87"/>
        <v/>
      </c>
      <c r="G1868" s="2" t="str">
        <f t="shared" si="88"/>
        <v/>
      </c>
      <c r="H1868" s="2" t="str">
        <f>IF(A1868="","",MIN('Loan Inputs'!$B$18,MAX(0,C1868+E1868-'Loan Inputs'!$B$17)))</f>
        <v/>
      </c>
    </row>
    <row r="1869" spans="1:8" ht="22" customHeight="1">
      <c r="A1869" s="1" t="str">
        <f>IF(AND('Loan Inputs'!$B$12,1863&lt;=IF('Loan Inputs'!$B$12,'Loan Inputs'!$B$7,0)*'Loan Inputs'!$B$14+5*'Loan Inputs'!$B$14,ISNUMBER(G1868),G1868&gt;0),1863,"")</f>
        <v/>
      </c>
      <c r="B1869" s="4" t="str">
        <f>IF(A1869="","",IF('Loan Inputs'!$B$14=12,DATE(YEAR('Loan Inputs'!$B$8),MONTH('Loan Inputs'!$B$8)+A1869,DAY('Loan Inputs'!$B$8)),'Loan Inputs'!$B$8+A1869*IF('Loan Inputs'!$B$14=26,14,7)))</f>
        <v/>
      </c>
      <c r="C1869" s="2" t="str">
        <f t="shared" si="89"/>
        <v/>
      </c>
      <c r="D1869" s="2" t="str">
        <f>IF(A1869="","",MIN('Loan Inputs'!$B$17,C1869+E1869)+H1869)</f>
        <v/>
      </c>
      <c r="E1869" s="2" t="str">
        <f>IF(A1869="","",C1869*'Loan Inputs'!$B$15)</f>
        <v/>
      </c>
      <c r="F1869" s="2" t="str">
        <f t="shared" si="87"/>
        <v/>
      </c>
      <c r="G1869" s="2" t="str">
        <f t="shared" si="88"/>
        <v/>
      </c>
      <c r="H1869" s="2" t="str">
        <f>IF(A1869="","",MIN('Loan Inputs'!$B$18,MAX(0,C1869+E1869-'Loan Inputs'!$B$17)))</f>
        <v/>
      </c>
    </row>
    <row r="1870" spans="1:8" ht="22" customHeight="1">
      <c r="A1870" s="1" t="str">
        <f>IF(AND('Loan Inputs'!$B$12,1864&lt;=IF('Loan Inputs'!$B$12,'Loan Inputs'!$B$7,0)*'Loan Inputs'!$B$14+5*'Loan Inputs'!$B$14,ISNUMBER(G1869),G1869&gt;0),1864,"")</f>
        <v/>
      </c>
      <c r="B1870" s="4" t="str">
        <f>IF(A1870="","",IF('Loan Inputs'!$B$14=12,DATE(YEAR('Loan Inputs'!$B$8),MONTH('Loan Inputs'!$B$8)+A1870,DAY('Loan Inputs'!$B$8)),'Loan Inputs'!$B$8+A1870*IF('Loan Inputs'!$B$14=26,14,7)))</f>
        <v/>
      </c>
      <c r="C1870" s="2" t="str">
        <f t="shared" si="89"/>
        <v/>
      </c>
      <c r="D1870" s="2" t="str">
        <f>IF(A1870="","",MIN('Loan Inputs'!$B$17,C1870+E1870)+H1870)</f>
        <v/>
      </c>
      <c r="E1870" s="2" t="str">
        <f>IF(A1870="","",C1870*'Loan Inputs'!$B$15)</f>
        <v/>
      </c>
      <c r="F1870" s="2" t="str">
        <f t="shared" si="87"/>
        <v/>
      </c>
      <c r="G1870" s="2" t="str">
        <f t="shared" si="88"/>
        <v/>
      </c>
      <c r="H1870" s="2" t="str">
        <f>IF(A1870="","",MIN('Loan Inputs'!$B$18,MAX(0,C1870+E1870-'Loan Inputs'!$B$17)))</f>
        <v/>
      </c>
    </row>
    <row r="1871" spans="1:8" ht="22" customHeight="1">
      <c r="A1871" s="1" t="str">
        <f>IF(AND('Loan Inputs'!$B$12,1865&lt;=IF('Loan Inputs'!$B$12,'Loan Inputs'!$B$7,0)*'Loan Inputs'!$B$14+5*'Loan Inputs'!$B$14,ISNUMBER(G1870),G1870&gt;0),1865,"")</f>
        <v/>
      </c>
      <c r="B1871" s="4" t="str">
        <f>IF(A1871="","",IF('Loan Inputs'!$B$14=12,DATE(YEAR('Loan Inputs'!$B$8),MONTH('Loan Inputs'!$B$8)+A1871,DAY('Loan Inputs'!$B$8)),'Loan Inputs'!$B$8+A1871*IF('Loan Inputs'!$B$14=26,14,7)))</f>
        <v/>
      </c>
      <c r="C1871" s="2" t="str">
        <f t="shared" si="89"/>
        <v/>
      </c>
      <c r="D1871" s="2" t="str">
        <f>IF(A1871="","",MIN('Loan Inputs'!$B$17,C1871+E1871)+H1871)</f>
        <v/>
      </c>
      <c r="E1871" s="2" t="str">
        <f>IF(A1871="","",C1871*'Loan Inputs'!$B$15)</f>
        <v/>
      </c>
      <c r="F1871" s="2" t="str">
        <f t="shared" si="87"/>
        <v/>
      </c>
      <c r="G1871" s="2" t="str">
        <f t="shared" si="88"/>
        <v/>
      </c>
      <c r="H1871" s="2" t="str">
        <f>IF(A1871="","",MIN('Loan Inputs'!$B$18,MAX(0,C1871+E1871-'Loan Inputs'!$B$17)))</f>
        <v/>
      </c>
    </row>
    <row r="1872" spans="1:8" ht="22" customHeight="1">
      <c r="A1872" s="1" t="str">
        <f>IF(AND('Loan Inputs'!$B$12,1866&lt;=IF('Loan Inputs'!$B$12,'Loan Inputs'!$B$7,0)*'Loan Inputs'!$B$14+5*'Loan Inputs'!$B$14,ISNUMBER(G1871),G1871&gt;0),1866,"")</f>
        <v/>
      </c>
      <c r="B1872" s="4" t="str">
        <f>IF(A1872="","",IF('Loan Inputs'!$B$14=12,DATE(YEAR('Loan Inputs'!$B$8),MONTH('Loan Inputs'!$B$8)+A1872,DAY('Loan Inputs'!$B$8)),'Loan Inputs'!$B$8+A1872*IF('Loan Inputs'!$B$14=26,14,7)))</f>
        <v/>
      </c>
      <c r="C1872" s="2" t="str">
        <f t="shared" si="89"/>
        <v/>
      </c>
      <c r="D1872" s="2" t="str">
        <f>IF(A1872="","",MIN('Loan Inputs'!$B$17,C1872+E1872)+H1872)</f>
        <v/>
      </c>
      <c r="E1872" s="2" t="str">
        <f>IF(A1872="","",C1872*'Loan Inputs'!$B$15)</f>
        <v/>
      </c>
      <c r="F1872" s="2" t="str">
        <f t="shared" si="87"/>
        <v/>
      </c>
      <c r="G1872" s="2" t="str">
        <f t="shared" si="88"/>
        <v/>
      </c>
      <c r="H1872" s="2" t="str">
        <f>IF(A1872="","",MIN('Loan Inputs'!$B$18,MAX(0,C1872+E1872-'Loan Inputs'!$B$17)))</f>
        <v/>
      </c>
    </row>
    <row r="1873" spans="1:8" ht="22" customHeight="1">
      <c r="A1873" s="1" t="str">
        <f>IF(AND('Loan Inputs'!$B$12,1867&lt;=IF('Loan Inputs'!$B$12,'Loan Inputs'!$B$7,0)*'Loan Inputs'!$B$14+5*'Loan Inputs'!$B$14,ISNUMBER(G1872),G1872&gt;0),1867,"")</f>
        <v/>
      </c>
      <c r="B1873" s="4" t="str">
        <f>IF(A1873="","",IF('Loan Inputs'!$B$14=12,DATE(YEAR('Loan Inputs'!$B$8),MONTH('Loan Inputs'!$B$8)+A1873,DAY('Loan Inputs'!$B$8)),'Loan Inputs'!$B$8+A1873*IF('Loan Inputs'!$B$14=26,14,7)))</f>
        <v/>
      </c>
      <c r="C1873" s="2" t="str">
        <f t="shared" si="89"/>
        <v/>
      </c>
      <c r="D1873" s="2" t="str">
        <f>IF(A1873="","",MIN('Loan Inputs'!$B$17,C1873+E1873)+H1873)</f>
        <v/>
      </c>
      <c r="E1873" s="2" t="str">
        <f>IF(A1873="","",C1873*'Loan Inputs'!$B$15)</f>
        <v/>
      </c>
      <c r="F1873" s="2" t="str">
        <f t="shared" si="87"/>
        <v/>
      </c>
      <c r="G1873" s="2" t="str">
        <f t="shared" si="88"/>
        <v/>
      </c>
      <c r="H1873" s="2" t="str">
        <f>IF(A1873="","",MIN('Loan Inputs'!$B$18,MAX(0,C1873+E1873-'Loan Inputs'!$B$17)))</f>
        <v/>
      </c>
    </row>
    <row r="1874" spans="1:8" ht="22" customHeight="1">
      <c r="A1874" s="1" t="str">
        <f>IF(AND('Loan Inputs'!$B$12,1868&lt;=IF('Loan Inputs'!$B$12,'Loan Inputs'!$B$7,0)*'Loan Inputs'!$B$14+5*'Loan Inputs'!$B$14,ISNUMBER(G1873),G1873&gt;0),1868,"")</f>
        <v/>
      </c>
      <c r="B1874" s="4" t="str">
        <f>IF(A1874="","",IF('Loan Inputs'!$B$14=12,DATE(YEAR('Loan Inputs'!$B$8),MONTH('Loan Inputs'!$B$8)+A1874,DAY('Loan Inputs'!$B$8)),'Loan Inputs'!$B$8+A1874*IF('Loan Inputs'!$B$14=26,14,7)))</f>
        <v/>
      </c>
      <c r="C1874" s="2" t="str">
        <f t="shared" si="89"/>
        <v/>
      </c>
      <c r="D1874" s="2" t="str">
        <f>IF(A1874="","",MIN('Loan Inputs'!$B$17,C1874+E1874)+H1874)</f>
        <v/>
      </c>
      <c r="E1874" s="2" t="str">
        <f>IF(A1874="","",C1874*'Loan Inputs'!$B$15)</f>
        <v/>
      </c>
      <c r="F1874" s="2" t="str">
        <f t="shared" si="87"/>
        <v/>
      </c>
      <c r="G1874" s="2" t="str">
        <f t="shared" si="88"/>
        <v/>
      </c>
      <c r="H1874" s="2" t="str">
        <f>IF(A1874="","",MIN('Loan Inputs'!$B$18,MAX(0,C1874+E1874-'Loan Inputs'!$B$17)))</f>
        <v/>
      </c>
    </row>
    <row r="1875" spans="1:8" ht="22" customHeight="1">
      <c r="A1875" s="1" t="str">
        <f>IF(AND('Loan Inputs'!$B$12,1869&lt;=IF('Loan Inputs'!$B$12,'Loan Inputs'!$B$7,0)*'Loan Inputs'!$B$14+5*'Loan Inputs'!$B$14,ISNUMBER(G1874),G1874&gt;0),1869,"")</f>
        <v/>
      </c>
      <c r="B1875" s="4" t="str">
        <f>IF(A1875="","",IF('Loan Inputs'!$B$14=12,DATE(YEAR('Loan Inputs'!$B$8),MONTH('Loan Inputs'!$B$8)+A1875,DAY('Loan Inputs'!$B$8)),'Loan Inputs'!$B$8+A1875*IF('Loan Inputs'!$B$14=26,14,7)))</f>
        <v/>
      </c>
      <c r="C1875" s="2" t="str">
        <f t="shared" si="89"/>
        <v/>
      </c>
      <c r="D1875" s="2" t="str">
        <f>IF(A1875="","",MIN('Loan Inputs'!$B$17,C1875+E1875)+H1875)</f>
        <v/>
      </c>
      <c r="E1875" s="2" t="str">
        <f>IF(A1875="","",C1875*'Loan Inputs'!$B$15)</f>
        <v/>
      </c>
      <c r="F1875" s="2" t="str">
        <f t="shared" si="87"/>
        <v/>
      </c>
      <c r="G1875" s="2" t="str">
        <f t="shared" si="88"/>
        <v/>
      </c>
      <c r="H1875" s="2" t="str">
        <f>IF(A1875="","",MIN('Loan Inputs'!$B$18,MAX(0,C1875+E1875-'Loan Inputs'!$B$17)))</f>
        <v/>
      </c>
    </row>
    <row r="1876" spans="1:8" ht="22" customHeight="1">
      <c r="A1876" s="1" t="str">
        <f>IF(AND('Loan Inputs'!$B$12,1870&lt;=IF('Loan Inputs'!$B$12,'Loan Inputs'!$B$7,0)*'Loan Inputs'!$B$14+5*'Loan Inputs'!$B$14,ISNUMBER(G1875),G1875&gt;0),1870,"")</f>
        <v/>
      </c>
      <c r="B1876" s="4" t="str">
        <f>IF(A1876="","",IF('Loan Inputs'!$B$14=12,DATE(YEAR('Loan Inputs'!$B$8),MONTH('Loan Inputs'!$B$8)+A1876,DAY('Loan Inputs'!$B$8)),'Loan Inputs'!$B$8+A1876*IF('Loan Inputs'!$B$14=26,14,7)))</f>
        <v/>
      </c>
      <c r="C1876" s="2" t="str">
        <f t="shared" si="89"/>
        <v/>
      </c>
      <c r="D1876" s="2" t="str">
        <f>IF(A1876="","",MIN('Loan Inputs'!$B$17,C1876+E1876)+H1876)</f>
        <v/>
      </c>
      <c r="E1876" s="2" t="str">
        <f>IF(A1876="","",C1876*'Loan Inputs'!$B$15)</f>
        <v/>
      </c>
      <c r="F1876" s="2" t="str">
        <f t="shared" si="87"/>
        <v/>
      </c>
      <c r="G1876" s="2" t="str">
        <f t="shared" si="88"/>
        <v/>
      </c>
      <c r="H1876" s="2" t="str">
        <f>IF(A1876="","",MIN('Loan Inputs'!$B$18,MAX(0,C1876+E1876-'Loan Inputs'!$B$17)))</f>
        <v/>
      </c>
    </row>
    <row r="1877" spans="1:8" ht="22" customHeight="1">
      <c r="A1877" s="1" t="str">
        <f>IF(AND('Loan Inputs'!$B$12,1871&lt;=IF('Loan Inputs'!$B$12,'Loan Inputs'!$B$7,0)*'Loan Inputs'!$B$14+5*'Loan Inputs'!$B$14,ISNUMBER(G1876),G1876&gt;0),1871,"")</f>
        <v/>
      </c>
      <c r="B1877" s="4" t="str">
        <f>IF(A1877="","",IF('Loan Inputs'!$B$14=12,DATE(YEAR('Loan Inputs'!$B$8),MONTH('Loan Inputs'!$B$8)+A1877,DAY('Loan Inputs'!$B$8)),'Loan Inputs'!$B$8+A1877*IF('Loan Inputs'!$B$14=26,14,7)))</f>
        <v/>
      </c>
      <c r="C1877" s="2" t="str">
        <f t="shared" si="89"/>
        <v/>
      </c>
      <c r="D1877" s="2" t="str">
        <f>IF(A1877="","",MIN('Loan Inputs'!$B$17,C1877+E1877)+H1877)</f>
        <v/>
      </c>
      <c r="E1877" s="2" t="str">
        <f>IF(A1877="","",C1877*'Loan Inputs'!$B$15)</f>
        <v/>
      </c>
      <c r="F1877" s="2" t="str">
        <f t="shared" si="87"/>
        <v/>
      </c>
      <c r="G1877" s="2" t="str">
        <f t="shared" si="88"/>
        <v/>
      </c>
      <c r="H1877" s="2" t="str">
        <f>IF(A1877="","",MIN('Loan Inputs'!$B$18,MAX(0,C1877+E1877-'Loan Inputs'!$B$17)))</f>
        <v/>
      </c>
    </row>
    <row r="1878" spans="1:8" ht="22" customHeight="1">
      <c r="A1878" s="1" t="str">
        <f>IF(AND('Loan Inputs'!$B$12,1872&lt;=IF('Loan Inputs'!$B$12,'Loan Inputs'!$B$7,0)*'Loan Inputs'!$B$14+5*'Loan Inputs'!$B$14,ISNUMBER(G1877),G1877&gt;0),1872,"")</f>
        <v/>
      </c>
      <c r="B1878" s="4" t="str">
        <f>IF(A1878="","",IF('Loan Inputs'!$B$14=12,DATE(YEAR('Loan Inputs'!$B$8),MONTH('Loan Inputs'!$B$8)+A1878,DAY('Loan Inputs'!$B$8)),'Loan Inputs'!$B$8+A1878*IF('Loan Inputs'!$B$14=26,14,7)))</f>
        <v/>
      </c>
      <c r="C1878" s="2" t="str">
        <f t="shared" si="89"/>
        <v/>
      </c>
      <c r="D1878" s="2" t="str">
        <f>IF(A1878="","",MIN('Loan Inputs'!$B$17,C1878+E1878)+H1878)</f>
        <v/>
      </c>
      <c r="E1878" s="2" t="str">
        <f>IF(A1878="","",C1878*'Loan Inputs'!$B$15)</f>
        <v/>
      </c>
      <c r="F1878" s="2" t="str">
        <f t="shared" si="87"/>
        <v/>
      </c>
      <c r="G1878" s="2" t="str">
        <f t="shared" si="88"/>
        <v/>
      </c>
      <c r="H1878" s="2" t="str">
        <f>IF(A1878="","",MIN('Loan Inputs'!$B$18,MAX(0,C1878+E1878-'Loan Inputs'!$B$17)))</f>
        <v/>
      </c>
    </row>
    <row r="1879" spans="1:8" ht="22" customHeight="1">
      <c r="A1879" s="1" t="str">
        <f>IF(AND('Loan Inputs'!$B$12,1873&lt;=IF('Loan Inputs'!$B$12,'Loan Inputs'!$B$7,0)*'Loan Inputs'!$B$14+5*'Loan Inputs'!$B$14,ISNUMBER(G1878),G1878&gt;0),1873,"")</f>
        <v/>
      </c>
      <c r="B1879" s="4" t="str">
        <f>IF(A1879="","",IF('Loan Inputs'!$B$14=12,DATE(YEAR('Loan Inputs'!$B$8),MONTH('Loan Inputs'!$B$8)+A1879,DAY('Loan Inputs'!$B$8)),'Loan Inputs'!$B$8+A1879*IF('Loan Inputs'!$B$14=26,14,7)))</f>
        <v/>
      </c>
      <c r="C1879" s="2" t="str">
        <f t="shared" si="89"/>
        <v/>
      </c>
      <c r="D1879" s="2" t="str">
        <f>IF(A1879="","",MIN('Loan Inputs'!$B$17,C1879+E1879)+H1879)</f>
        <v/>
      </c>
      <c r="E1879" s="2" t="str">
        <f>IF(A1879="","",C1879*'Loan Inputs'!$B$15)</f>
        <v/>
      </c>
      <c r="F1879" s="2" t="str">
        <f t="shared" si="87"/>
        <v/>
      </c>
      <c r="G1879" s="2" t="str">
        <f t="shared" si="88"/>
        <v/>
      </c>
      <c r="H1879" s="2" t="str">
        <f>IF(A1879="","",MIN('Loan Inputs'!$B$18,MAX(0,C1879+E1879-'Loan Inputs'!$B$17)))</f>
        <v/>
      </c>
    </row>
    <row r="1880" spans="1:8" ht="22" customHeight="1">
      <c r="A1880" s="1" t="str">
        <f>IF(AND('Loan Inputs'!$B$12,1874&lt;=IF('Loan Inputs'!$B$12,'Loan Inputs'!$B$7,0)*'Loan Inputs'!$B$14+5*'Loan Inputs'!$B$14,ISNUMBER(G1879),G1879&gt;0),1874,"")</f>
        <v/>
      </c>
      <c r="B1880" s="4" t="str">
        <f>IF(A1880="","",IF('Loan Inputs'!$B$14=12,DATE(YEAR('Loan Inputs'!$B$8),MONTH('Loan Inputs'!$B$8)+A1880,DAY('Loan Inputs'!$B$8)),'Loan Inputs'!$B$8+A1880*IF('Loan Inputs'!$B$14=26,14,7)))</f>
        <v/>
      </c>
      <c r="C1880" s="2" t="str">
        <f t="shared" si="89"/>
        <v/>
      </c>
      <c r="D1880" s="2" t="str">
        <f>IF(A1880="","",MIN('Loan Inputs'!$B$17,C1880+E1880)+H1880)</f>
        <v/>
      </c>
      <c r="E1880" s="2" t="str">
        <f>IF(A1880="","",C1880*'Loan Inputs'!$B$15)</f>
        <v/>
      </c>
      <c r="F1880" s="2" t="str">
        <f t="shared" si="87"/>
        <v/>
      </c>
      <c r="G1880" s="2" t="str">
        <f t="shared" si="88"/>
        <v/>
      </c>
      <c r="H1880" s="2" t="str">
        <f>IF(A1880="","",MIN('Loan Inputs'!$B$18,MAX(0,C1880+E1880-'Loan Inputs'!$B$17)))</f>
        <v/>
      </c>
    </row>
    <row r="1881" spans="1:8" ht="22" customHeight="1">
      <c r="A1881" s="1" t="str">
        <f>IF(AND('Loan Inputs'!$B$12,1875&lt;=IF('Loan Inputs'!$B$12,'Loan Inputs'!$B$7,0)*'Loan Inputs'!$B$14+5*'Loan Inputs'!$B$14,ISNUMBER(G1880),G1880&gt;0),1875,"")</f>
        <v/>
      </c>
      <c r="B1881" s="4" t="str">
        <f>IF(A1881="","",IF('Loan Inputs'!$B$14=12,DATE(YEAR('Loan Inputs'!$B$8),MONTH('Loan Inputs'!$B$8)+A1881,DAY('Loan Inputs'!$B$8)),'Loan Inputs'!$B$8+A1881*IF('Loan Inputs'!$B$14=26,14,7)))</f>
        <v/>
      </c>
      <c r="C1881" s="2" t="str">
        <f t="shared" si="89"/>
        <v/>
      </c>
      <c r="D1881" s="2" t="str">
        <f>IF(A1881="","",MIN('Loan Inputs'!$B$17,C1881+E1881)+H1881)</f>
        <v/>
      </c>
      <c r="E1881" s="2" t="str">
        <f>IF(A1881="","",C1881*'Loan Inputs'!$B$15)</f>
        <v/>
      </c>
      <c r="F1881" s="2" t="str">
        <f t="shared" si="87"/>
        <v/>
      </c>
      <c r="G1881" s="2" t="str">
        <f t="shared" si="88"/>
        <v/>
      </c>
      <c r="H1881" s="2" t="str">
        <f>IF(A1881="","",MIN('Loan Inputs'!$B$18,MAX(0,C1881+E1881-'Loan Inputs'!$B$17)))</f>
        <v/>
      </c>
    </row>
    <row r="1882" spans="1:8" ht="22" customHeight="1">
      <c r="A1882" s="1" t="str">
        <f>IF(AND('Loan Inputs'!$B$12,1876&lt;=IF('Loan Inputs'!$B$12,'Loan Inputs'!$B$7,0)*'Loan Inputs'!$B$14+5*'Loan Inputs'!$B$14,ISNUMBER(G1881),G1881&gt;0),1876,"")</f>
        <v/>
      </c>
      <c r="B1882" s="4" t="str">
        <f>IF(A1882="","",IF('Loan Inputs'!$B$14=12,DATE(YEAR('Loan Inputs'!$B$8),MONTH('Loan Inputs'!$B$8)+A1882,DAY('Loan Inputs'!$B$8)),'Loan Inputs'!$B$8+A1882*IF('Loan Inputs'!$B$14=26,14,7)))</f>
        <v/>
      </c>
      <c r="C1882" s="2" t="str">
        <f t="shared" si="89"/>
        <v/>
      </c>
      <c r="D1882" s="2" t="str">
        <f>IF(A1882="","",MIN('Loan Inputs'!$B$17,C1882+E1882)+H1882)</f>
        <v/>
      </c>
      <c r="E1882" s="2" t="str">
        <f>IF(A1882="","",C1882*'Loan Inputs'!$B$15)</f>
        <v/>
      </c>
      <c r="F1882" s="2" t="str">
        <f t="shared" si="87"/>
        <v/>
      </c>
      <c r="G1882" s="2" t="str">
        <f t="shared" si="88"/>
        <v/>
      </c>
      <c r="H1882" s="2" t="str">
        <f>IF(A1882="","",MIN('Loan Inputs'!$B$18,MAX(0,C1882+E1882-'Loan Inputs'!$B$17)))</f>
        <v/>
      </c>
    </row>
    <row r="1883" spans="1:8" ht="22" customHeight="1">
      <c r="A1883" s="1" t="str">
        <f>IF(AND('Loan Inputs'!$B$12,1877&lt;=IF('Loan Inputs'!$B$12,'Loan Inputs'!$B$7,0)*'Loan Inputs'!$B$14+5*'Loan Inputs'!$B$14,ISNUMBER(G1882),G1882&gt;0),1877,"")</f>
        <v/>
      </c>
      <c r="B1883" s="4" t="str">
        <f>IF(A1883="","",IF('Loan Inputs'!$B$14=12,DATE(YEAR('Loan Inputs'!$B$8),MONTH('Loan Inputs'!$B$8)+A1883,DAY('Loan Inputs'!$B$8)),'Loan Inputs'!$B$8+A1883*IF('Loan Inputs'!$B$14=26,14,7)))</f>
        <v/>
      </c>
      <c r="C1883" s="2" t="str">
        <f t="shared" si="89"/>
        <v/>
      </c>
      <c r="D1883" s="2" t="str">
        <f>IF(A1883="","",MIN('Loan Inputs'!$B$17,C1883+E1883)+H1883)</f>
        <v/>
      </c>
      <c r="E1883" s="2" t="str">
        <f>IF(A1883="","",C1883*'Loan Inputs'!$B$15)</f>
        <v/>
      </c>
      <c r="F1883" s="2" t="str">
        <f t="shared" si="87"/>
        <v/>
      </c>
      <c r="G1883" s="2" t="str">
        <f t="shared" si="88"/>
        <v/>
      </c>
      <c r="H1883" s="2" t="str">
        <f>IF(A1883="","",MIN('Loan Inputs'!$B$18,MAX(0,C1883+E1883-'Loan Inputs'!$B$17)))</f>
        <v/>
      </c>
    </row>
    <row r="1884" spans="1:8" ht="22" customHeight="1">
      <c r="A1884" s="1" t="str">
        <f>IF(AND('Loan Inputs'!$B$12,1878&lt;=IF('Loan Inputs'!$B$12,'Loan Inputs'!$B$7,0)*'Loan Inputs'!$B$14+5*'Loan Inputs'!$B$14,ISNUMBER(G1883),G1883&gt;0),1878,"")</f>
        <v/>
      </c>
      <c r="B1884" s="4" t="str">
        <f>IF(A1884="","",IF('Loan Inputs'!$B$14=12,DATE(YEAR('Loan Inputs'!$B$8),MONTH('Loan Inputs'!$B$8)+A1884,DAY('Loan Inputs'!$B$8)),'Loan Inputs'!$B$8+A1884*IF('Loan Inputs'!$B$14=26,14,7)))</f>
        <v/>
      </c>
      <c r="C1884" s="2" t="str">
        <f t="shared" si="89"/>
        <v/>
      </c>
      <c r="D1884" s="2" t="str">
        <f>IF(A1884="","",MIN('Loan Inputs'!$B$17,C1884+E1884)+H1884)</f>
        <v/>
      </c>
      <c r="E1884" s="2" t="str">
        <f>IF(A1884="","",C1884*'Loan Inputs'!$B$15)</f>
        <v/>
      </c>
      <c r="F1884" s="2" t="str">
        <f t="shared" si="87"/>
        <v/>
      </c>
      <c r="G1884" s="2" t="str">
        <f t="shared" si="88"/>
        <v/>
      </c>
      <c r="H1884" s="2" t="str">
        <f>IF(A1884="","",MIN('Loan Inputs'!$B$18,MAX(0,C1884+E1884-'Loan Inputs'!$B$17)))</f>
        <v/>
      </c>
    </row>
    <row r="1885" spans="1:8" ht="22" customHeight="1">
      <c r="A1885" s="1" t="str">
        <f>IF(AND('Loan Inputs'!$B$12,1879&lt;=IF('Loan Inputs'!$B$12,'Loan Inputs'!$B$7,0)*'Loan Inputs'!$B$14+5*'Loan Inputs'!$B$14,ISNUMBER(G1884),G1884&gt;0),1879,"")</f>
        <v/>
      </c>
      <c r="B1885" s="4" t="str">
        <f>IF(A1885="","",IF('Loan Inputs'!$B$14=12,DATE(YEAR('Loan Inputs'!$B$8),MONTH('Loan Inputs'!$B$8)+A1885,DAY('Loan Inputs'!$B$8)),'Loan Inputs'!$B$8+A1885*IF('Loan Inputs'!$B$14=26,14,7)))</f>
        <v/>
      </c>
      <c r="C1885" s="2" t="str">
        <f t="shared" si="89"/>
        <v/>
      </c>
      <c r="D1885" s="2" t="str">
        <f>IF(A1885="","",MIN('Loan Inputs'!$B$17,C1885+E1885)+H1885)</f>
        <v/>
      </c>
      <c r="E1885" s="2" t="str">
        <f>IF(A1885="","",C1885*'Loan Inputs'!$B$15)</f>
        <v/>
      </c>
      <c r="F1885" s="2" t="str">
        <f t="shared" si="87"/>
        <v/>
      </c>
      <c r="G1885" s="2" t="str">
        <f t="shared" si="88"/>
        <v/>
      </c>
      <c r="H1885" s="2" t="str">
        <f>IF(A1885="","",MIN('Loan Inputs'!$B$18,MAX(0,C1885+E1885-'Loan Inputs'!$B$17)))</f>
        <v/>
      </c>
    </row>
    <row r="1886" spans="1:8" ht="22" customHeight="1">
      <c r="A1886" s="1" t="str">
        <f>IF(AND('Loan Inputs'!$B$12,1880&lt;=IF('Loan Inputs'!$B$12,'Loan Inputs'!$B$7,0)*'Loan Inputs'!$B$14+5*'Loan Inputs'!$B$14,ISNUMBER(G1885),G1885&gt;0),1880,"")</f>
        <v/>
      </c>
      <c r="B1886" s="4" t="str">
        <f>IF(A1886="","",IF('Loan Inputs'!$B$14=12,DATE(YEAR('Loan Inputs'!$B$8),MONTH('Loan Inputs'!$B$8)+A1886,DAY('Loan Inputs'!$B$8)),'Loan Inputs'!$B$8+A1886*IF('Loan Inputs'!$B$14=26,14,7)))</f>
        <v/>
      </c>
      <c r="C1886" s="2" t="str">
        <f t="shared" si="89"/>
        <v/>
      </c>
      <c r="D1886" s="2" t="str">
        <f>IF(A1886="","",MIN('Loan Inputs'!$B$17,C1886+E1886)+H1886)</f>
        <v/>
      </c>
      <c r="E1886" s="2" t="str">
        <f>IF(A1886="","",C1886*'Loan Inputs'!$B$15)</f>
        <v/>
      </c>
      <c r="F1886" s="2" t="str">
        <f t="shared" si="87"/>
        <v/>
      </c>
      <c r="G1886" s="2" t="str">
        <f t="shared" si="88"/>
        <v/>
      </c>
      <c r="H1886" s="2" t="str">
        <f>IF(A1886="","",MIN('Loan Inputs'!$B$18,MAX(0,C1886+E1886-'Loan Inputs'!$B$17)))</f>
        <v/>
      </c>
    </row>
    <row r="1887" spans="1:8" ht="22" customHeight="1">
      <c r="A1887" s="1" t="str">
        <f>IF(AND('Loan Inputs'!$B$12,1881&lt;=IF('Loan Inputs'!$B$12,'Loan Inputs'!$B$7,0)*'Loan Inputs'!$B$14+5*'Loan Inputs'!$B$14,ISNUMBER(G1886),G1886&gt;0),1881,"")</f>
        <v/>
      </c>
      <c r="B1887" s="4" t="str">
        <f>IF(A1887="","",IF('Loan Inputs'!$B$14=12,DATE(YEAR('Loan Inputs'!$B$8),MONTH('Loan Inputs'!$B$8)+A1887,DAY('Loan Inputs'!$B$8)),'Loan Inputs'!$B$8+A1887*IF('Loan Inputs'!$B$14=26,14,7)))</f>
        <v/>
      </c>
      <c r="C1887" s="2" t="str">
        <f t="shared" si="89"/>
        <v/>
      </c>
      <c r="D1887" s="2" t="str">
        <f>IF(A1887="","",MIN('Loan Inputs'!$B$17,C1887+E1887)+H1887)</f>
        <v/>
      </c>
      <c r="E1887" s="2" t="str">
        <f>IF(A1887="","",C1887*'Loan Inputs'!$B$15)</f>
        <v/>
      </c>
      <c r="F1887" s="2" t="str">
        <f t="shared" si="87"/>
        <v/>
      </c>
      <c r="G1887" s="2" t="str">
        <f t="shared" si="88"/>
        <v/>
      </c>
      <c r="H1887" s="2" t="str">
        <f>IF(A1887="","",MIN('Loan Inputs'!$B$18,MAX(0,C1887+E1887-'Loan Inputs'!$B$17)))</f>
        <v/>
      </c>
    </row>
    <row r="1888" spans="1:8" ht="22" customHeight="1">
      <c r="A1888" s="1" t="str">
        <f>IF(AND('Loan Inputs'!$B$12,1882&lt;=IF('Loan Inputs'!$B$12,'Loan Inputs'!$B$7,0)*'Loan Inputs'!$B$14+5*'Loan Inputs'!$B$14,ISNUMBER(G1887),G1887&gt;0),1882,"")</f>
        <v/>
      </c>
      <c r="B1888" s="4" t="str">
        <f>IF(A1888="","",IF('Loan Inputs'!$B$14=12,DATE(YEAR('Loan Inputs'!$B$8),MONTH('Loan Inputs'!$B$8)+A1888,DAY('Loan Inputs'!$B$8)),'Loan Inputs'!$B$8+A1888*IF('Loan Inputs'!$B$14=26,14,7)))</f>
        <v/>
      </c>
      <c r="C1888" s="2" t="str">
        <f t="shared" si="89"/>
        <v/>
      </c>
      <c r="D1888" s="2" t="str">
        <f>IF(A1888="","",MIN('Loan Inputs'!$B$17,C1888+E1888)+H1888)</f>
        <v/>
      </c>
      <c r="E1888" s="2" t="str">
        <f>IF(A1888="","",C1888*'Loan Inputs'!$B$15)</f>
        <v/>
      </c>
      <c r="F1888" s="2" t="str">
        <f t="shared" si="87"/>
        <v/>
      </c>
      <c r="G1888" s="2" t="str">
        <f t="shared" si="88"/>
        <v/>
      </c>
      <c r="H1888" s="2" t="str">
        <f>IF(A1888="","",MIN('Loan Inputs'!$B$18,MAX(0,C1888+E1888-'Loan Inputs'!$B$17)))</f>
        <v/>
      </c>
    </row>
    <row r="1889" spans="1:8" ht="22" customHeight="1">
      <c r="A1889" s="1" t="str">
        <f>IF(AND('Loan Inputs'!$B$12,1883&lt;=IF('Loan Inputs'!$B$12,'Loan Inputs'!$B$7,0)*'Loan Inputs'!$B$14+5*'Loan Inputs'!$B$14,ISNUMBER(G1888),G1888&gt;0),1883,"")</f>
        <v/>
      </c>
      <c r="B1889" s="4" t="str">
        <f>IF(A1889="","",IF('Loan Inputs'!$B$14=12,DATE(YEAR('Loan Inputs'!$B$8),MONTH('Loan Inputs'!$B$8)+A1889,DAY('Loan Inputs'!$B$8)),'Loan Inputs'!$B$8+A1889*IF('Loan Inputs'!$B$14=26,14,7)))</f>
        <v/>
      </c>
      <c r="C1889" s="2" t="str">
        <f t="shared" si="89"/>
        <v/>
      </c>
      <c r="D1889" s="2" t="str">
        <f>IF(A1889="","",MIN('Loan Inputs'!$B$17,C1889+E1889)+H1889)</f>
        <v/>
      </c>
      <c r="E1889" s="2" t="str">
        <f>IF(A1889="","",C1889*'Loan Inputs'!$B$15)</f>
        <v/>
      </c>
      <c r="F1889" s="2" t="str">
        <f t="shared" si="87"/>
        <v/>
      </c>
      <c r="G1889" s="2" t="str">
        <f t="shared" si="88"/>
        <v/>
      </c>
      <c r="H1889" s="2" t="str">
        <f>IF(A1889="","",MIN('Loan Inputs'!$B$18,MAX(0,C1889+E1889-'Loan Inputs'!$B$17)))</f>
        <v/>
      </c>
    </row>
    <row r="1890" spans="1:8" ht="22" customHeight="1">
      <c r="A1890" s="1" t="str">
        <f>IF(AND('Loan Inputs'!$B$12,1884&lt;=IF('Loan Inputs'!$B$12,'Loan Inputs'!$B$7,0)*'Loan Inputs'!$B$14+5*'Loan Inputs'!$B$14,ISNUMBER(G1889),G1889&gt;0),1884,"")</f>
        <v/>
      </c>
      <c r="B1890" s="4" t="str">
        <f>IF(A1890="","",IF('Loan Inputs'!$B$14=12,DATE(YEAR('Loan Inputs'!$B$8),MONTH('Loan Inputs'!$B$8)+A1890,DAY('Loan Inputs'!$B$8)),'Loan Inputs'!$B$8+A1890*IF('Loan Inputs'!$B$14=26,14,7)))</f>
        <v/>
      </c>
      <c r="C1890" s="2" t="str">
        <f t="shared" si="89"/>
        <v/>
      </c>
      <c r="D1890" s="2" t="str">
        <f>IF(A1890="","",MIN('Loan Inputs'!$B$17,C1890+E1890)+H1890)</f>
        <v/>
      </c>
      <c r="E1890" s="2" t="str">
        <f>IF(A1890="","",C1890*'Loan Inputs'!$B$15)</f>
        <v/>
      </c>
      <c r="F1890" s="2" t="str">
        <f t="shared" si="87"/>
        <v/>
      </c>
      <c r="G1890" s="2" t="str">
        <f t="shared" si="88"/>
        <v/>
      </c>
      <c r="H1890" s="2" t="str">
        <f>IF(A1890="","",MIN('Loan Inputs'!$B$18,MAX(0,C1890+E1890-'Loan Inputs'!$B$17)))</f>
        <v/>
      </c>
    </row>
    <row r="1891" spans="1:8" ht="22" customHeight="1">
      <c r="A1891" s="1" t="str">
        <f>IF(AND('Loan Inputs'!$B$12,1885&lt;=IF('Loan Inputs'!$B$12,'Loan Inputs'!$B$7,0)*'Loan Inputs'!$B$14+5*'Loan Inputs'!$B$14,ISNUMBER(G1890),G1890&gt;0),1885,"")</f>
        <v/>
      </c>
      <c r="B1891" s="4" t="str">
        <f>IF(A1891="","",IF('Loan Inputs'!$B$14=12,DATE(YEAR('Loan Inputs'!$B$8),MONTH('Loan Inputs'!$B$8)+A1891,DAY('Loan Inputs'!$B$8)),'Loan Inputs'!$B$8+A1891*IF('Loan Inputs'!$B$14=26,14,7)))</f>
        <v/>
      </c>
      <c r="C1891" s="2" t="str">
        <f t="shared" si="89"/>
        <v/>
      </c>
      <c r="D1891" s="2" t="str">
        <f>IF(A1891="","",MIN('Loan Inputs'!$B$17,C1891+E1891)+H1891)</f>
        <v/>
      </c>
      <c r="E1891" s="2" t="str">
        <f>IF(A1891="","",C1891*'Loan Inputs'!$B$15)</f>
        <v/>
      </c>
      <c r="F1891" s="2" t="str">
        <f t="shared" si="87"/>
        <v/>
      </c>
      <c r="G1891" s="2" t="str">
        <f t="shared" si="88"/>
        <v/>
      </c>
      <c r="H1891" s="2" t="str">
        <f>IF(A1891="","",MIN('Loan Inputs'!$B$18,MAX(0,C1891+E1891-'Loan Inputs'!$B$17)))</f>
        <v/>
      </c>
    </row>
    <row r="1892" spans="1:8" ht="22" customHeight="1">
      <c r="A1892" s="1" t="str">
        <f>IF(AND('Loan Inputs'!$B$12,1886&lt;=IF('Loan Inputs'!$B$12,'Loan Inputs'!$B$7,0)*'Loan Inputs'!$B$14+5*'Loan Inputs'!$B$14,ISNUMBER(G1891),G1891&gt;0),1886,"")</f>
        <v/>
      </c>
      <c r="B1892" s="4" t="str">
        <f>IF(A1892="","",IF('Loan Inputs'!$B$14=12,DATE(YEAR('Loan Inputs'!$B$8),MONTH('Loan Inputs'!$B$8)+A1892,DAY('Loan Inputs'!$B$8)),'Loan Inputs'!$B$8+A1892*IF('Loan Inputs'!$B$14=26,14,7)))</f>
        <v/>
      </c>
      <c r="C1892" s="2" t="str">
        <f t="shared" si="89"/>
        <v/>
      </c>
      <c r="D1892" s="2" t="str">
        <f>IF(A1892="","",MIN('Loan Inputs'!$B$17,C1892+E1892)+H1892)</f>
        <v/>
      </c>
      <c r="E1892" s="2" t="str">
        <f>IF(A1892="","",C1892*'Loan Inputs'!$B$15)</f>
        <v/>
      </c>
      <c r="F1892" s="2" t="str">
        <f t="shared" si="87"/>
        <v/>
      </c>
      <c r="G1892" s="2" t="str">
        <f t="shared" si="88"/>
        <v/>
      </c>
      <c r="H1892" s="2" t="str">
        <f>IF(A1892="","",MIN('Loan Inputs'!$B$18,MAX(0,C1892+E1892-'Loan Inputs'!$B$17)))</f>
        <v/>
      </c>
    </row>
    <row r="1893" spans="1:8" ht="22" customHeight="1">
      <c r="A1893" s="1" t="str">
        <f>IF(AND('Loan Inputs'!$B$12,1887&lt;=IF('Loan Inputs'!$B$12,'Loan Inputs'!$B$7,0)*'Loan Inputs'!$B$14+5*'Loan Inputs'!$B$14,ISNUMBER(G1892),G1892&gt;0),1887,"")</f>
        <v/>
      </c>
      <c r="B1893" s="4" t="str">
        <f>IF(A1893="","",IF('Loan Inputs'!$B$14=12,DATE(YEAR('Loan Inputs'!$B$8),MONTH('Loan Inputs'!$B$8)+A1893,DAY('Loan Inputs'!$B$8)),'Loan Inputs'!$B$8+A1893*IF('Loan Inputs'!$B$14=26,14,7)))</f>
        <v/>
      </c>
      <c r="C1893" s="2" t="str">
        <f t="shared" si="89"/>
        <v/>
      </c>
      <c r="D1893" s="2" t="str">
        <f>IF(A1893="","",MIN('Loan Inputs'!$B$17,C1893+E1893)+H1893)</f>
        <v/>
      </c>
      <c r="E1893" s="2" t="str">
        <f>IF(A1893="","",C1893*'Loan Inputs'!$B$15)</f>
        <v/>
      </c>
      <c r="F1893" s="2" t="str">
        <f t="shared" si="87"/>
        <v/>
      </c>
      <c r="G1893" s="2" t="str">
        <f t="shared" si="88"/>
        <v/>
      </c>
      <c r="H1893" s="2" t="str">
        <f>IF(A1893="","",MIN('Loan Inputs'!$B$18,MAX(0,C1893+E1893-'Loan Inputs'!$B$17)))</f>
        <v/>
      </c>
    </row>
    <row r="1894" spans="1:8" ht="22" customHeight="1">
      <c r="A1894" s="1" t="str">
        <f>IF(AND('Loan Inputs'!$B$12,1888&lt;=IF('Loan Inputs'!$B$12,'Loan Inputs'!$B$7,0)*'Loan Inputs'!$B$14+5*'Loan Inputs'!$B$14,ISNUMBER(G1893),G1893&gt;0),1888,"")</f>
        <v/>
      </c>
      <c r="B1894" s="4" t="str">
        <f>IF(A1894="","",IF('Loan Inputs'!$B$14=12,DATE(YEAR('Loan Inputs'!$B$8),MONTH('Loan Inputs'!$B$8)+A1894,DAY('Loan Inputs'!$B$8)),'Loan Inputs'!$B$8+A1894*IF('Loan Inputs'!$B$14=26,14,7)))</f>
        <v/>
      </c>
      <c r="C1894" s="2" t="str">
        <f t="shared" si="89"/>
        <v/>
      </c>
      <c r="D1894" s="2" t="str">
        <f>IF(A1894="","",MIN('Loan Inputs'!$B$17,C1894+E1894)+H1894)</f>
        <v/>
      </c>
      <c r="E1894" s="2" t="str">
        <f>IF(A1894="","",C1894*'Loan Inputs'!$B$15)</f>
        <v/>
      </c>
      <c r="F1894" s="2" t="str">
        <f t="shared" si="87"/>
        <v/>
      </c>
      <c r="G1894" s="2" t="str">
        <f t="shared" si="88"/>
        <v/>
      </c>
      <c r="H1894" s="2" t="str">
        <f>IF(A1894="","",MIN('Loan Inputs'!$B$18,MAX(0,C1894+E1894-'Loan Inputs'!$B$17)))</f>
        <v/>
      </c>
    </row>
    <row r="1895" spans="1:8" ht="22" customHeight="1">
      <c r="A1895" s="1" t="str">
        <f>IF(AND('Loan Inputs'!$B$12,1889&lt;=IF('Loan Inputs'!$B$12,'Loan Inputs'!$B$7,0)*'Loan Inputs'!$B$14+5*'Loan Inputs'!$B$14,ISNUMBER(G1894),G1894&gt;0),1889,"")</f>
        <v/>
      </c>
      <c r="B1895" s="4" t="str">
        <f>IF(A1895="","",IF('Loan Inputs'!$B$14=12,DATE(YEAR('Loan Inputs'!$B$8),MONTH('Loan Inputs'!$B$8)+A1895,DAY('Loan Inputs'!$B$8)),'Loan Inputs'!$B$8+A1895*IF('Loan Inputs'!$B$14=26,14,7)))</f>
        <v/>
      </c>
      <c r="C1895" s="2" t="str">
        <f t="shared" si="89"/>
        <v/>
      </c>
      <c r="D1895" s="2" t="str">
        <f>IF(A1895="","",MIN('Loan Inputs'!$B$17,C1895+E1895)+H1895)</f>
        <v/>
      </c>
      <c r="E1895" s="2" t="str">
        <f>IF(A1895="","",C1895*'Loan Inputs'!$B$15)</f>
        <v/>
      </c>
      <c r="F1895" s="2" t="str">
        <f t="shared" si="87"/>
        <v/>
      </c>
      <c r="G1895" s="2" t="str">
        <f t="shared" si="88"/>
        <v/>
      </c>
      <c r="H1895" s="2" t="str">
        <f>IF(A1895="","",MIN('Loan Inputs'!$B$18,MAX(0,C1895+E1895-'Loan Inputs'!$B$17)))</f>
        <v/>
      </c>
    </row>
    <row r="1896" spans="1:8" ht="22" customHeight="1">
      <c r="A1896" s="1" t="str">
        <f>IF(AND('Loan Inputs'!$B$12,1890&lt;=IF('Loan Inputs'!$B$12,'Loan Inputs'!$B$7,0)*'Loan Inputs'!$B$14+5*'Loan Inputs'!$B$14,ISNUMBER(G1895),G1895&gt;0),1890,"")</f>
        <v/>
      </c>
      <c r="B1896" s="4" t="str">
        <f>IF(A1896="","",IF('Loan Inputs'!$B$14=12,DATE(YEAR('Loan Inputs'!$B$8),MONTH('Loan Inputs'!$B$8)+A1896,DAY('Loan Inputs'!$B$8)),'Loan Inputs'!$B$8+A1896*IF('Loan Inputs'!$B$14=26,14,7)))</f>
        <v/>
      </c>
      <c r="C1896" s="2" t="str">
        <f t="shared" si="89"/>
        <v/>
      </c>
      <c r="D1896" s="2" t="str">
        <f>IF(A1896="","",MIN('Loan Inputs'!$B$17,C1896+E1896)+H1896)</f>
        <v/>
      </c>
      <c r="E1896" s="2" t="str">
        <f>IF(A1896="","",C1896*'Loan Inputs'!$B$15)</f>
        <v/>
      </c>
      <c r="F1896" s="2" t="str">
        <f t="shared" si="87"/>
        <v/>
      </c>
      <c r="G1896" s="2" t="str">
        <f t="shared" si="88"/>
        <v/>
      </c>
      <c r="H1896" s="2" t="str">
        <f>IF(A1896="","",MIN('Loan Inputs'!$B$18,MAX(0,C1896+E1896-'Loan Inputs'!$B$17)))</f>
        <v/>
      </c>
    </row>
    <row r="1897" spans="1:8" ht="22" customHeight="1">
      <c r="A1897" s="1" t="str">
        <f>IF(AND('Loan Inputs'!$B$12,1891&lt;=IF('Loan Inputs'!$B$12,'Loan Inputs'!$B$7,0)*'Loan Inputs'!$B$14+5*'Loan Inputs'!$B$14,ISNUMBER(G1896),G1896&gt;0),1891,"")</f>
        <v/>
      </c>
      <c r="B1897" s="4" t="str">
        <f>IF(A1897="","",IF('Loan Inputs'!$B$14=12,DATE(YEAR('Loan Inputs'!$B$8),MONTH('Loan Inputs'!$B$8)+A1897,DAY('Loan Inputs'!$B$8)),'Loan Inputs'!$B$8+A1897*IF('Loan Inputs'!$B$14=26,14,7)))</f>
        <v/>
      </c>
      <c r="C1897" s="2" t="str">
        <f t="shared" si="89"/>
        <v/>
      </c>
      <c r="D1897" s="2" t="str">
        <f>IF(A1897="","",MIN('Loan Inputs'!$B$17,C1897+E1897)+H1897)</f>
        <v/>
      </c>
      <c r="E1897" s="2" t="str">
        <f>IF(A1897="","",C1897*'Loan Inputs'!$B$15)</f>
        <v/>
      </c>
      <c r="F1897" s="2" t="str">
        <f t="shared" si="87"/>
        <v/>
      </c>
      <c r="G1897" s="2" t="str">
        <f t="shared" si="88"/>
        <v/>
      </c>
      <c r="H1897" s="2" t="str">
        <f>IF(A1897="","",MIN('Loan Inputs'!$B$18,MAX(0,C1897+E1897-'Loan Inputs'!$B$17)))</f>
        <v/>
      </c>
    </row>
    <row r="1898" spans="1:8" ht="22" customHeight="1">
      <c r="A1898" s="1" t="str">
        <f>IF(AND('Loan Inputs'!$B$12,1892&lt;=IF('Loan Inputs'!$B$12,'Loan Inputs'!$B$7,0)*'Loan Inputs'!$B$14+5*'Loan Inputs'!$B$14,ISNUMBER(G1897),G1897&gt;0),1892,"")</f>
        <v/>
      </c>
      <c r="B1898" s="4" t="str">
        <f>IF(A1898="","",IF('Loan Inputs'!$B$14=12,DATE(YEAR('Loan Inputs'!$B$8),MONTH('Loan Inputs'!$B$8)+A1898,DAY('Loan Inputs'!$B$8)),'Loan Inputs'!$B$8+A1898*IF('Loan Inputs'!$B$14=26,14,7)))</f>
        <v/>
      </c>
      <c r="C1898" s="2" t="str">
        <f t="shared" si="89"/>
        <v/>
      </c>
      <c r="D1898" s="2" t="str">
        <f>IF(A1898="","",MIN('Loan Inputs'!$B$17,C1898+E1898)+H1898)</f>
        <v/>
      </c>
      <c r="E1898" s="2" t="str">
        <f>IF(A1898="","",C1898*'Loan Inputs'!$B$15)</f>
        <v/>
      </c>
      <c r="F1898" s="2" t="str">
        <f t="shared" si="87"/>
        <v/>
      </c>
      <c r="G1898" s="2" t="str">
        <f t="shared" si="88"/>
        <v/>
      </c>
      <c r="H1898" s="2" t="str">
        <f>IF(A1898="","",MIN('Loan Inputs'!$B$18,MAX(0,C1898+E1898-'Loan Inputs'!$B$17)))</f>
        <v/>
      </c>
    </row>
    <row r="1899" spans="1:8" ht="22" customHeight="1">
      <c r="A1899" s="1" t="str">
        <f>IF(AND('Loan Inputs'!$B$12,1893&lt;=IF('Loan Inputs'!$B$12,'Loan Inputs'!$B$7,0)*'Loan Inputs'!$B$14+5*'Loan Inputs'!$B$14,ISNUMBER(G1898),G1898&gt;0),1893,"")</f>
        <v/>
      </c>
      <c r="B1899" s="4" t="str">
        <f>IF(A1899="","",IF('Loan Inputs'!$B$14=12,DATE(YEAR('Loan Inputs'!$B$8),MONTH('Loan Inputs'!$B$8)+A1899,DAY('Loan Inputs'!$B$8)),'Loan Inputs'!$B$8+A1899*IF('Loan Inputs'!$B$14=26,14,7)))</f>
        <v/>
      </c>
      <c r="C1899" s="2" t="str">
        <f t="shared" si="89"/>
        <v/>
      </c>
      <c r="D1899" s="2" t="str">
        <f>IF(A1899="","",MIN('Loan Inputs'!$B$17,C1899+E1899)+H1899)</f>
        <v/>
      </c>
      <c r="E1899" s="2" t="str">
        <f>IF(A1899="","",C1899*'Loan Inputs'!$B$15)</f>
        <v/>
      </c>
      <c r="F1899" s="2" t="str">
        <f t="shared" si="87"/>
        <v/>
      </c>
      <c r="G1899" s="2" t="str">
        <f t="shared" si="88"/>
        <v/>
      </c>
      <c r="H1899" s="2" t="str">
        <f>IF(A1899="","",MIN('Loan Inputs'!$B$18,MAX(0,C1899+E1899-'Loan Inputs'!$B$17)))</f>
        <v/>
      </c>
    </row>
    <row r="1900" spans="1:8" ht="22" customHeight="1">
      <c r="A1900" s="1" t="str">
        <f>IF(AND('Loan Inputs'!$B$12,1894&lt;=IF('Loan Inputs'!$B$12,'Loan Inputs'!$B$7,0)*'Loan Inputs'!$B$14+5*'Loan Inputs'!$B$14,ISNUMBER(G1899),G1899&gt;0),1894,"")</f>
        <v/>
      </c>
      <c r="B1900" s="4" t="str">
        <f>IF(A1900="","",IF('Loan Inputs'!$B$14=12,DATE(YEAR('Loan Inputs'!$B$8),MONTH('Loan Inputs'!$B$8)+A1900,DAY('Loan Inputs'!$B$8)),'Loan Inputs'!$B$8+A1900*IF('Loan Inputs'!$B$14=26,14,7)))</f>
        <v/>
      </c>
      <c r="C1900" s="2" t="str">
        <f t="shared" si="89"/>
        <v/>
      </c>
      <c r="D1900" s="2" t="str">
        <f>IF(A1900="","",MIN('Loan Inputs'!$B$17,C1900+E1900)+H1900)</f>
        <v/>
      </c>
      <c r="E1900" s="2" t="str">
        <f>IF(A1900="","",C1900*'Loan Inputs'!$B$15)</f>
        <v/>
      </c>
      <c r="F1900" s="2" t="str">
        <f t="shared" si="87"/>
        <v/>
      </c>
      <c r="G1900" s="2" t="str">
        <f t="shared" si="88"/>
        <v/>
      </c>
      <c r="H1900" s="2" t="str">
        <f>IF(A1900="","",MIN('Loan Inputs'!$B$18,MAX(0,C1900+E1900-'Loan Inputs'!$B$17)))</f>
        <v/>
      </c>
    </row>
    <row r="1901" spans="1:8" ht="22" customHeight="1">
      <c r="A1901" s="1" t="str">
        <f>IF(AND('Loan Inputs'!$B$12,1895&lt;=IF('Loan Inputs'!$B$12,'Loan Inputs'!$B$7,0)*'Loan Inputs'!$B$14+5*'Loan Inputs'!$B$14,ISNUMBER(G1900),G1900&gt;0),1895,"")</f>
        <v/>
      </c>
      <c r="B1901" s="4" t="str">
        <f>IF(A1901="","",IF('Loan Inputs'!$B$14=12,DATE(YEAR('Loan Inputs'!$B$8),MONTH('Loan Inputs'!$B$8)+A1901,DAY('Loan Inputs'!$B$8)),'Loan Inputs'!$B$8+A1901*IF('Loan Inputs'!$B$14=26,14,7)))</f>
        <v/>
      </c>
      <c r="C1901" s="2" t="str">
        <f t="shared" si="89"/>
        <v/>
      </c>
      <c r="D1901" s="2" t="str">
        <f>IF(A1901="","",MIN('Loan Inputs'!$B$17,C1901+E1901)+H1901)</f>
        <v/>
      </c>
      <c r="E1901" s="2" t="str">
        <f>IF(A1901="","",C1901*'Loan Inputs'!$B$15)</f>
        <v/>
      </c>
      <c r="F1901" s="2" t="str">
        <f t="shared" si="87"/>
        <v/>
      </c>
      <c r="G1901" s="2" t="str">
        <f t="shared" si="88"/>
        <v/>
      </c>
      <c r="H1901" s="2" t="str">
        <f>IF(A1901="","",MIN('Loan Inputs'!$B$18,MAX(0,C1901+E1901-'Loan Inputs'!$B$17)))</f>
        <v/>
      </c>
    </row>
    <row r="1902" spans="1:8" ht="22" customHeight="1">
      <c r="A1902" s="1" t="str">
        <f>IF(AND('Loan Inputs'!$B$12,1896&lt;=IF('Loan Inputs'!$B$12,'Loan Inputs'!$B$7,0)*'Loan Inputs'!$B$14+5*'Loan Inputs'!$B$14,ISNUMBER(G1901),G1901&gt;0),1896,"")</f>
        <v/>
      </c>
      <c r="B1902" s="4" t="str">
        <f>IF(A1902="","",IF('Loan Inputs'!$B$14=12,DATE(YEAR('Loan Inputs'!$B$8),MONTH('Loan Inputs'!$B$8)+A1902,DAY('Loan Inputs'!$B$8)),'Loan Inputs'!$B$8+A1902*IF('Loan Inputs'!$B$14=26,14,7)))</f>
        <v/>
      </c>
      <c r="C1902" s="2" t="str">
        <f t="shared" si="89"/>
        <v/>
      </c>
      <c r="D1902" s="2" t="str">
        <f>IF(A1902="","",MIN('Loan Inputs'!$B$17,C1902+E1902)+H1902)</f>
        <v/>
      </c>
      <c r="E1902" s="2" t="str">
        <f>IF(A1902="","",C1902*'Loan Inputs'!$B$15)</f>
        <v/>
      </c>
      <c r="F1902" s="2" t="str">
        <f t="shared" si="87"/>
        <v/>
      </c>
      <c r="G1902" s="2" t="str">
        <f t="shared" si="88"/>
        <v/>
      </c>
      <c r="H1902" s="2" t="str">
        <f>IF(A1902="","",MIN('Loan Inputs'!$B$18,MAX(0,C1902+E1902-'Loan Inputs'!$B$17)))</f>
        <v/>
      </c>
    </row>
    <row r="1903" spans="1:8" ht="22" customHeight="1">
      <c r="A1903" s="1" t="str">
        <f>IF(AND('Loan Inputs'!$B$12,1897&lt;=IF('Loan Inputs'!$B$12,'Loan Inputs'!$B$7,0)*'Loan Inputs'!$B$14+5*'Loan Inputs'!$B$14,ISNUMBER(G1902),G1902&gt;0),1897,"")</f>
        <v/>
      </c>
      <c r="B1903" s="4" t="str">
        <f>IF(A1903="","",IF('Loan Inputs'!$B$14=12,DATE(YEAR('Loan Inputs'!$B$8),MONTH('Loan Inputs'!$B$8)+A1903,DAY('Loan Inputs'!$B$8)),'Loan Inputs'!$B$8+A1903*IF('Loan Inputs'!$B$14=26,14,7)))</f>
        <v/>
      </c>
      <c r="C1903" s="2" t="str">
        <f t="shared" si="89"/>
        <v/>
      </c>
      <c r="D1903" s="2" t="str">
        <f>IF(A1903="","",MIN('Loan Inputs'!$B$17,C1903+E1903)+H1903)</f>
        <v/>
      </c>
      <c r="E1903" s="2" t="str">
        <f>IF(A1903="","",C1903*'Loan Inputs'!$B$15)</f>
        <v/>
      </c>
      <c r="F1903" s="2" t="str">
        <f t="shared" si="87"/>
        <v/>
      </c>
      <c r="G1903" s="2" t="str">
        <f t="shared" si="88"/>
        <v/>
      </c>
      <c r="H1903" s="2" t="str">
        <f>IF(A1903="","",MIN('Loan Inputs'!$B$18,MAX(0,C1903+E1903-'Loan Inputs'!$B$17)))</f>
        <v/>
      </c>
    </row>
    <row r="1904" spans="1:8" ht="22" customHeight="1">
      <c r="A1904" s="1" t="str">
        <f>IF(AND('Loan Inputs'!$B$12,1898&lt;=IF('Loan Inputs'!$B$12,'Loan Inputs'!$B$7,0)*'Loan Inputs'!$B$14+5*'Loan Inputs'!$B$14,ISNUMBER(G1903),G1903&gt;0),1898,"")</f>
        <v/>
      </c>
      <c r="B1904" s="4" t="str">
        <f>IF(A1904="","",IF('Loan Inputs'!$B$14=12,DATE(YEAR('Loan Inputs'!$B$8),MONTH('Loan Inputs'!$B$8)+A1904,DAY('Loan Inputs'!$B$8)),'Loan Inputs'!$B$8+A1904*IF('Loan Inputs'!$B$14=26,14,7)))</f>
        <v/>
      </c>
      <c r="C1904" s="2" t="str">
        <f t="shared" si="89"/>
        <v/>
      </c>
      <c r="D1904" s="2" t="str">
        <f>IF(A1904="","",MIN('Loan Inputs'!$B$17,C1904+E1904)+H1904)</f>
        <v/>
      </c>
      <c r="E1904" s="2" t="str">
        <f>IF(A1904="","",C1904*'Loan Inputs'!$B$15)</f>
        <v/>
      </c>
      <c r="F1904" s="2" t="str">
        <f t="shared" si="87"/>
        <v/>
      </c>
      <c r="G1904" s="2" t="str">
        <f t="shared" si="88"/>
        <v/>
      </c>
      <c r="H1904" s="2" t="str">
        <f>IF(A1904="","",MIN('Loan Inputs'!$B$18,MAX(0,C1904+E1904-'Loan Inputs'!$B$17)))</f>
        <v/>
      </c>
    </row>
    <row r="1905" spans="1:8" ht="22" customHeight="1">
      <c r="A1905" s="1" t="str">
        <f>IF(AND('Loan Inputs'!$B$12,1899&lt;=IF('Loan Inputs'!$B$12,'Loan Inputs'!$B$7,0)*'Loan Inputs'!$B$14+5*'Loan Inputs'!$B$14,ISNUMBER(G1904),G1904&gt;0),1899,"")</f>
        <v/>
      </c>
      <c r="B1905" s="4" t="str">
        <f>IF(A1905="","",IF('Loan Inputs'!$B$14=12,DATE(YEAR('Loan Inputs'!$B$8),MONTH('Loan Inputs'!$B$8)+A1905,DAY('Loan Inputs'!$B$8)),'Loan Inputs'!$B$8+A1905*IF('Loan Inputs'!$B$14=26,14,7)))</f>
        <v/>
      </c>
      <c r="C1905" s="2" t="str">
        <f t="shared" si="89"/>
        <v/>
      </c>
      <c r="D1905" s="2" t="str">
        <f>IF(A1905="","",MIN('Loan Inputs'!$B$17,C1905+E1905)+H1905)</f>
        <v/>
      </c>
      <c r="E1905" s="2" t="str">
        <f>IF(A1905="","",C1905*'Loan Inputs'!$B$15)</f>
        <v/>
      </c>
      <c r="F1905" s="2" t="str">
        <f t="shared" si="87"/>
        <v/>
      </c>
      <c r="G1905" s="2" t="str">
        <f t="shared" si="88"/>
        <v/>
      </c>
      <c r="H1905" s="2" t="str">
        <f>IF(A1905="","",MIN('Loan Inputs'!$B$18,MAX(0,C1905+E1905-'Loan Inputs'!$B$17)))</f>
        <v/>
      </c>
    </row>
    <row r="1906" spans="1:8" ht="22" customHeight="1">
      <c r="A1906" s="1" t="str">
        <f>IF(AND('Loan Inputs'!$B$12,1900&lt;=IF('Loan Inputs'!$B$12,'Loan Inputs'!$B$7,0)*'Loan Inputs'!$B$14+5*'Loan Inputs'!$B$14,ISNUMBER(G1905),G1905&gt;0),1900,"")</f>
        <v/>
      </c>
      <c r="B1906" s="4" t="str">
        <f>IF(A1906="","",IF('Loan Inputs'!$B$14=12,DATE(YEAR('Loan Inputs'!$B$8),MONTH('Loan Inputs'!$B$8)+A1906,DAY('Loan Inputs'!$B$8)),'Loan Inputs'!$B$8+A1906*IF('Loan Inputs'!$B$14=26,14,7)))</f>
        <v/>
      </c>
      <c r="C1906" s="2" t="str">
        <f t="shared" si="89"/>
        <v/>
      </c>
      <c r="D1906" s="2" t="str">
        <f>IF(A1906="","",MIN('Loan Inputs'!$B$17,C1906+E1906)+H1906)</f>
        <v/>
      </c>
      <c r="E1906" s="2" t="str">
        <f>IF(A1906="","",C1906*'Loan Inputs'!$B$15)</f>
        <v/>
      </c>
      <c r="F1906" s="2" t="str">
        <f t="shared" si="87"/>
        <v/>
      </c>
      <c r="G1906" s="2" t="str">
        <f t="shared" si="88"/>
        <v/>
      </c>
      <c r="H1906" s="2" t="str">
        <f>IF(A1906="","",MIN('Loan Inputs'!$B$18,MAX(0,C1906+E1906-'Loan Inputs'!$B$17)))</f>
        <v/>
      </c>
    </row>
    <row r="1907" spans="1:8" ht="22" customHeight="1">
      <c r="A1907" s="1" t="str">
        <f>IF(AND('Loan Inputs'!$B$12,1901&lt;=IF('Loan Inputs'!$B$12,'Loan Inputs'!$B$7,0)*'Loan Inputs'!$B$14+5*'Loan Inputs'!$B$14,ISNUMBER(G1906),G1906&gt;0),1901,"")</f>
        <v/>
      </c>
      <c r="B1907" s="4" t="str">
        <f>IF(A1907="","",IF('Loan Inputs'!$B$14=12,DATE(YEAR('Loan Inputs'!$B$8),MONTH('Loan Inputs'!$B$8)+A1907,DAY('Loan Inputs'!$B$8)),'Loan Inputs'!$B$8+A1907*IF('Loan Inputs'!$B$14=26,14,7)))</f>
        <v/>
      </c>
      <c r="C1907" s="2" t="str">
        <f t="shared" si="89"/>
        <v/>
      </c>
      <c r="D1907" s="2" t="str">
        <f>IF(A1907="","",MIN('Loan Inputs'!$B$17,C1907+E1907)+H1907)</f>
        <v/>
      </c>
      <c r="E1907" s="2" t="str">
        <f>IF(A1907="","",C1907*'Loan Inputs'!$B$15)</f>
        <v/>
      </c>
      <c r="F1907" s="2" t="str">
        <f t="shared" si="87"/>
        <v/>
      </c>
      <c r="G1907" s="2" t="str">
        <f t="shared" si="88"/>
        <v/>
      </c>
      <c r="H1907" s="2" t="str">
        <f>IF(A1907="","",MIN('Loan Inputs'!$B$18,MAX(0,C1907+E1907-'Loan Inputs'!$B$17)))</f>
        <v/>
      </c>
    </row>
    <row r="1908" spans="1:8" ht="22" customHeight="1">
      <c r="A1908" s="1" t="str">
        <f>IF(AND('Loan Inputs'!$B$12,1902&lt;=IF('Loan Inputs'!$B$12,'Loan Inputs'!$B$7,0)*'Loan Inputs'!$B$14+5*'Loan Inputs'!$B$14,ISNUMBER(G1907),G1907&gt;0),1902,"")</f>
        <v/>
      </c>
      <c r="B1908" s="4" t="str">
        <f>IF(A1908="","",IF('Loan Inputs'!$B$14=12,DATE(YEAR('Loan Inputs'!$B$8),MONTH('Loan Inputs'!$B$8)+A1908,DAY('Loan Inputs'!$B$8)),'Loan Inputs'!$B$8+A1908*IF('Loan Inputs'!$B$14=26,14,7)))</f>
        <v/>
      </c>
      <c r="C1908" s="2" t="str">
        <f t="shared" si="89"/>
        <v/>
      </c>
      <c r="D1908" s="2" t="str">
        <f>IF(A1908="","",MIN('Loan Inputs'!$B$17,C1908+E1908)+H1908)</f>
        <v/>
      </c>
      <c r="E1908" s="2" t="str">
        <f>IF(A1908="","",C1908*'Loan Inputs'!$B$15)</f>
        <v/>
      </c>
      <c r="F1908" s="2" t="str">
        <f t="shared" si="87"/>
        <v/>
      </c>
      <c r="G1908" s="2" t="str">
        <f t="shared" si="88"/>
        <v/>
      </c>
      <c r="H1908" s="2" t="str">
        <f>IF(A1908="","",MIN('Loan Inputs'!$B$18,MAX(0,C1908+E1908-'Loan Inputs'!$B$17)))</f>
        <v/>
      </c>
    </row>
    <row r="1909" spans="1:8" ht="22" customHeight="1">
      <c r="A1909" s="1" t="str">
        <f>IF(AND('Loan Inputs'!$B$12,1903&lt;=IF('Loan Inputs'!$B$12,'Loan Inputs'!$B$7,0)*'Loan Inputs'!$B$14+5*'Loan Inputs'!$B$14,ISNUMBER(G1908),G1908&gt;0),1903,"")</f>
        <v/>
      </c>
      <c r="B1909" s="4" t="str">
        <f>IF(A1909="","",IF('Loan Inputs'!$B$14=12,DATE(YEAR('Loan Inputs'!$B$8),MONTH('Loan Inputs'!$B$8)+A1909,DAY('Loan Inputs'!$B$8)),'Loan Inputs'!$B$8+A1909*IF('Loan Inputs'!$B$14=26,14,7)))</f>
        <v/>
      </c>
      <c r="C1909" s="2" t="str">
        <f t="shared" si="89"/>
        <v/>
      </c>
      <c r="D1909" s="2" t="str">
        <f>IF(A1909="","",MIN('Loan Inputs'!$B$17,C1909+E1909)+H1909)</f>
        <v/>
      </c>
      <c r="E1909" s="2" t="str">
        <f>IF(A1909="","",C1909*'Loan Inputs'!$B$15)</f>
        <v/>
      </c>
      <c r="F1909" s="2" t="str">
        <f t="shared" si="87"/>
        <v/>
      </c>
      <c r="G1909" s="2" t="str">
        <f t="shared" si="88"/>
        <v/>
      </c>
      <c r="H1909" s="2" t="str">
        <f>IF(A1909="","",MIN('Loan Inputs'!$B$18,MAX(0,C1909+E1909-'Loan Inputs'!$B$17)))</f>
        <v/>
      </c>
    </row>
    <row r="1910" spans="1:8" ht="22" customHeight="1">
      <c r="A1910" s="1" t="str">
        <f>IF(AND('Loan Inputs'!$B$12,1904&lt;=IF('Loan Inputs'!$B$12,'Loan Inputs'!$B$7,0)*'Loan Inputs'!$B$14+5*'Loan Inputs'!$B$14,ISNUMBER(G1909),G1909&gt;0),1904,"")</f>
        <v/>
      </c>
      <c r="B1910" s="4" t="str">
        <f>IF(A1910="","",IF('Loan Inputs'!$B$14=12,DATE(YEAR('Loan Inputs'!$B$8),MONTH('Loan Inputs'!$B$8)+A1910,DAY('Loan Inputs'!$B$8)),'Loan Inputs'!$B$8+A1910*IF('Loan Inputs'!$B$14=26,14,7)))</f>
        <v/>
      </c>
      <c r="C1910" s="2" t="str">
        <f t="shared" si="89"/>
        <v/>
      </c>
      <c r="D1910" s="2" t="str">
        <f>IF(A1910="","",MIN('Loan Inputs'!$B$17,C1910+E1910)+H1910)</f>
        <v/>
      </c>
      <c r="E1910" s="2" t="str">
        <f>IF(A1910="","",C1910*'Loan Inputs'!$B$15)</f>
        <v/>
      </c>
      <c r="F1910" s="2" t="str">
        <f t="shared" si="87"/>
        <v/>
      </c>
      <c r="G1910" s="2" t="str">
        <f t="shared" si="88"/>
        <v/>
      </c>
      <c r="H1910" s="2" t="str">
        <f>IF(A1910="","",MIN('Loan Inputs'!$B$18,MAX(0,C1910+E1910-'Loan Inputs'!$B$17)))</f>
        <v/>
      </c>
    </row>
    <row r="1911" spans="1:8" ht="22" customHeight="1">
      <c r="A1911" s="1" t="str">
        <f>IF(AND('Loan Inputs'!$B$12,1905&lt;=IF('Loan Inputs'!$B$12,'Loan Inputs'!$B$7,0)*'Loan Inputs'!$B$14+5*'Loan Inputs'!$B$14,ISNUMBER(G1910),G1910&gt;0),1905,"")</f>
        <v/>
      </c>
      <c r="B1911" s="4" t="str">
        <f>IF(A1911="","",IF('Loan Inputs'!$B$14=12,DATE(YEAR('Loan Inputs'!$B$8),MONTH('Loan Inputs'!$B$8)+A1911,DAY('Loan Inputs'!$B$8)),'Loan Inputs'!$B$8+A1911*IF('Loan Inputs'!$B$14=26,14,7)))</f>
        <v/>
      </c>
      <c r="C1911" s="2" t="str">
        <f t="shared" si="89"/>
        <v/>
      </c>
      <c r="D1911" s="2" t="str">
        <f>IF(A1911="","",MIN('Loan Inputs'!$B$17,C1911+E1911)+H1911)</f>
        <v/>
      </c>
      <c r="E1911" s="2" t="str">
        <f>IF(A1911="","",C1911*'Loan Inputs'!$B$15)</f>
        <v/>
      </c>
      <c r="F1911" s="2" t="str">
        <f t="shared" si="87"/>
        <v/>
      </c>
      <c r="G1911" s="2" t="str">
        <f t="shared" si="88"/>
        <v/>
      </c>
      <c r="H1911" s="2" t="str">
        <f>IF(A1911="","",MIN('Loan Inputs'!$B$18,MAX(0,C1911+E1911-'Loan Inputs'!$B$17)))</f>
        <v/>
      </c>
    </row>
    <row r="1912" spans="1:8" ht="22" customHeight="1">
      <c r="A1912" s="1" t="str">
        <f>IF(AND('Loan Inputs'!$B$12,1906&lt;=IF('Loan Inputs'!$B$12,'Loan Inputs'!$B$7,0)*'Loan Inputs'!$B$14+5*'Loan Inputs'!$B$14,ISNUMBER(G1911),G1911&gt;0),1906,"")</f>
        <v/>
      </c>
      <c r="B1912" s="4" t="str">
        <f>IF(A1912="","",IF('Loan Inputs'!$B$14=12,DATE(YEAR('Loan Inputs'!$B$8),MONTH('Loan Inputs'!$B$8)+A1912,DAY('Loan Inputs'!$B$8)),'Loan Inputs'!$B$8+A1912*IF('Loan Inputs'!$B$14=26,14,7)))</f>
        <v/>
      </c>
      <c r="C1912" s="2" t="str">
        <f t="shared" si="89"/>
        <v/>
      </c>
      <c r="D1912" s="2" t="str">
        <f>IF(A1912="","",MIN('Loan Inputs'!$B$17,C1912+E1912)+H1912)</f>
        <v/>
      </c>
      <c r="E1912" s="2" t="str">
        <f>IF(A1912="","",C1912*'Loan Inputs'!$B$15)</f>
        <v/>
      </c>
      <c r="F1912" s="2" t="str">
        <f t="shared" si="87"/>
        <v/>
      </c>
      <c r="G1912" s="2" t="str">
        <f t="shared" si="88"/>
        <v/>
      </c>
      <c r="H1912" s="2" t="str">
        <f>IF(A1912="","",MIN('Loan Inputs'!$B$18,MAX(0,C1912+E1912-'Loan Inputs'!$B$17)))</f>
        <v/>
      </c>
    </row>
    <row r="1913" spans="1:8" ht="22" customHeight="1">
      <c r="A1913" s="1" t="str">
        <f>IF(AND('Loan Inputs'!$B$12,1907&lt;=IF('Loan Inputs'!$B$12,'Loan Inputs'!$B$7,0)*'Loan Inputs'!$B$14+5*'Loan Inputs'!$B$14,ISNUMBER(G1912),G1912&gt;0),1907,"")</f>
        <v/>
      </c>
      <c r="B1913" s="4" t="str">
        <f>IF(A1913="","",IF('Loan Inputs'!$B$14=12,DATE(YEAR('Loan Inputs'!$B$8),MONTH('Loan Inputs'!$B$8)+A1913,DAY('Loan Inputs'!$B$8)),'Loan Inputs'!$B$8+A1913*IF('Loan Inputs'!$B$14=26,14,7)))</f>
        <v/>
      </c>
      <c r="C1913" s="2" t="str">
        <f t="shared" si="89"/>
        <v/>
      </c>
      <c r="D1913" s="2" t="str">
        <f>IF(A1913="","",MIN('Loan Inputs'!$B$17,C1913+E1913)+H1913)</f>
        <v/>
      </c>
      <c r="E1913" s="2" t="str">
        <f>IF(A1913="","",C1913*'Loan Inputs'!$B$15)</f>
        <v/>
      </c>
      <c r="F1913" s="2" t="str">
        <f t="shared" si="87"/>
        <v/>
      </c>
      <c r="G1913" s="2" t="str">
        <f t="shared" si="88"/>
        <v/>
      </c>
      <c r="H1913" s="2" t="str">
        <f>IF(A1913="","",MIN('Loan Inputs'!$B$18,MAX(0,C1913+E1913-'Loan Inputs'!$B$17)))</f>
        <v/>
      </c>
    </row>
    <row r="1914" spans="1:8" ht="22" customHeight="1">
      <c r="A1914" s="1" t="str">
        <f>IF(AND('Loan Inputs'!$B$12,1908&lt;=IF('Loan Inputs'!$B$12,'Loan Inputs'!$B$7,0)*'Loan Inputs'!$B$14+5*'Loan Inputs'!$B$14,ISNUMBER(G1913),G1913&gt;0),1908,"")</f>
        <v/>
      </c>
      <c r="B1914" s="4" t="str">
        <f>IF(A1914="","",IF('Loan Inputs'!$B$14=12,DATE(YEAR('Loan Inputs'!$B$8),MONTH('Loan Inputs'!$B$8)+A1914,DAY('Loan Inputs'!$B$8)),'Loan Inputs'!$B$8+A1914*IF('Loan Inputs'!$B$14=26,14,7)))</f>
        <v/>
      </c>
      <c r="C1914" s="2" t="str">
        <f t="shared" si="89"/>
        <v/>
      </c>
      <c r="D1914" s="2" t="str">
        <f>IF(A1914="","",MIN('Loan Inputs'!$B$17,C1914+E1914)+H1914)</f>
        <v/>
      </c>
      <c r="E1914" s="2" t="str">
        <f>IF(A1914="","",C1914*'Loan Inputs'!$B$15)</f>
        <v/>
      </c>
      <c r="F1914" s="2" t="str">
        <f t="shared" si="87"/>
        <v/>
      </c>
      <c r="G1914" s="2" t="str">
        <f t="shared" si="88"/>
        <v/>
      </c>
      <c r="H1914" s="2" t="str">
        <f>IF(A1914="","",MIN('Loan Inputs'!$B$18,MAX(0,C1914+E1914-'Loan Inputs'!$B$17)))</f>
        <v/>
      </c>
    </row>
    <row r="1915" spans="1:8" ht="22" customHeight="1">
      <c r="A1915" s="1" t="str">
        <f>IF(AND('Loan Inputs'!$B$12,1909&lt;=IF('Loan Inputs'!$B$12,'Loan Inputs'!$B$7,0)*'Loan Inputs'!$B$14+5*'Loan Inputs'!$B$14,ISNUMBER(G1914),G1914&gt;0),1909,"")</f>
        <v/>
      </c>
      <c r="B1915" s="4" t="str">
        <f>IF(A1915="","",IF('Loan Inputs'!$B$14=12,DATE(YEAR('Loan Inputs'!$B$8),MONTH('Loan Inputs'!$B$8)+A1915,DAY('Loan Inputs'!$B$8)),'Loan Inputs'!$B$8+A1915*IF('Loan Inputs'!$B$14=26,14,7)))</f>
        <v/>
      </c>
      <c r="C1915" s="2" t="str">
        <f t="shared" si="89"/>
        <v/>
      </c>
      <c r="D1915" s="2" t="str">
        <f>IF(A1915="","",MIN('Loan Inputs'!$B$17,C1915+E1915)+H1915)</f>
        <v/>
      </c>
      <c r="E1915" s="2" t="str">
        <f>IF(A1915="","",C1915*'Loan Inputs'!$B$15)</f>
        <v/>
      </c>
      <c r="F1915" s="2" t="str">
        <f t="shared" si="87"/>
        <v/>
      </c>
      <c r="G1915" s="2" t="str">
        <f t="shared" si="88"/>
        <v/>
      </c>
      <c r="H1915" s="2" t="str">
        <f>IF(A1915="","",MIN('Loan Inputs'!$B$18,MAX(0,C1915+E1915-'Loan Inputs'!$B$17)))</f>
        <v/>
      </c>
    </row>
    <row r="1916" spans="1:8" ht="22" customHeight="1">
      <c r="A1916" s="1" t="str">
        <f>IF(AND('Loan Inputs'!$B$12,1910&lt;=IF('Loan Inputs'!$B$12,'Loan Inputs'!$B$7,0)*'Loan Inputs'!$B$14+5*'Loan Inputs'!$B$14,ISNUMBER(G1915),G1915&gt;0),1910,"")</f>
        <v/>
      </c>
      <c r="B1916" s="4" t="str">
        <f>IF(A1916="","",IF('Loan Inputs'!$B$14=12,DATE(YEAR('Loan Inputs'!$B$8),MONTH('Loan Inputs'!$B$8)+A1916,DAY('Loan Inputs'!$B$8)),'Loan Inputs'!$B$8+A1916*IF('Loan Inputs'!$B$14=26,14,7)))</f>
        <v/>
      </c>
      <c r="C1916" s="2" t="str">
        <f t="shared" si="89"/>
        <v/>
      </c>
      <c r="D1916" s="2" t="str">
        <f>IF(A1916="","",MIN('Loan Inputs'!$B$17,C1916+E1916)+H1916)</f>
        <v/>
      </c>
      <c r="E1916" s="2" t="str">
        <f>IF(A1916="","",C1916*'Loan Inputs'!$B$15)</f>
        <v/>
      </c>
      <c r="F1916" s="2" t="str">
        <f t="shared" si="87"/>
        <v/>
      </c>
      <c r="G1916" s="2" t="str">
        <f t="shared" si="88"/>
        <v/>
      </c>
      <c r="H1916" s="2" t="str">
        <f>IF(A1916="","",MIN('Loan Inputs'!$B$18,MAX(0,C1916+E1916-'Loan Inputs'!$B$17)))</f>
        <v/>
      </c>
    </row>
    <row r="1917" spans="1:8" ht="22" customHeight="1">
      <c r="A1917" s="1" t="str">
        <f>IF(AND('Loan Inputs'!$B$12,1911&lt;=IF('Loan Inputs'!$B$12,'Loan Inputs'!$B$7,0)*'Loan Inputs'!$B$14+5*'Loan Inputs'!$B$14,ISNUMBER(G1916),G1916&gt;0),1911,"")</f>
        <v/>
      </c>
      <c r="B1917" s="4" t="str">
        <f>IF(A1917="","",IF('Loan Inputs'!$B$14=12,DATE(YEAR('Loan Inputs'!$B$8),MONTH('Loan Inputs'!$B$8)+A1917,DAY('Loan Inputs'!$B$8)),'Loan Inputs'!$B$8+A1917*IF('Loan Inputs'!$B$14=26,14,7)))</f>
        <v/>
      </c>
      <c r="C1917" s="2" t="str">
        <f t="shared" si="89"/>
        <v/>
      </c>
      <c r="D1917" s="2" t="str">
        <f>IF(A1917="","",MIN('Loan Inputs'!$B$17,C1917+E1917)+H1917)</f>
        <v/>
      </c>
      <c r="E1917" s="2" t="str">
        <f>IF(A1917="","",C1917*'Loan Inputs'!$B$15)</f>
        <v/>
      </c>
      <c r="F1917" s="2" t="str">
        <f t="shared" si="87"/>
        <v/>
      </c>
      <c r="G1917" s="2" t="str">
        <f t="shared" si="88"/>
        <v/>
      </c>
      <c r="H1917" s="2" t="str">
        <f>IF(A1917="","",MIN('Loan Inputs'!$B$18,MAX(0,C1917+E1917-'Loan Inputs'!$B$17)))</f>
        <v/>
      </c>
    </row>
    <row r="1918" spans="1:8" ht="22" customHeight="1">
      <c r="A1918" s="1" t="str">
        <f>IF(AND('Loan Inputs'!$B$12,1912&lt;=IF('Loan Inputs'!$B$12,'Loan Inputs'!$B$7,0)*'Loan Inputs'!$B$14+5*'Loan Inputs'!$B$14,ISNUMBER(G1917),G1917&gt;0),1912,"")</f>
        <v/>
      </c>
      <c r="B1918" s="4" t="str">
        <f>IF(A1918="","",IF('Loan Inputs'!$B$14=12,DATE(YEAR('Loan Inputs'!$B$8),MONTH('Loan Inputs'!$B$8)+A1918,DAY('Loan Inputs'!$B$8)),'Loan Inputs'!$B$8+A1918*IF('Loan Inputs'!$B$14=26,14,7)))</f>
        <v/>
      </c>
      <c r="C1918" s="2" t="str">
        <f t="shared" si="89"/>
        <v/>
      </c>
      <c r="D1918" s="2" t="str">
        <f>IF(A1918="","",MIN('Loan Inputs'!$B$17,C1918+E1918)+H1918)</f>
        <v/>
      </c>
      <c r="E1918" s="2" t="str">
        <f>IF(A1918="","",C1918*'Loan Inputs'!$B$15)</f>
        <v/>
      </c>
      <c r="F1918" s="2" t="str">
        <f t="shared" si="87"/>
        <v/>
      </c>
      <c r="G1918" s="2" t="str">
        <f t="shared" si="88"/>
        <v/>
      </c>
      <c r="H1918" s="2" t="str">
        <f>IF(A1918="","",MIN('Loan Inputs'!$B$18,MAX(0,C1918+E1918-'Loan Inputs'!$B$17)))</f>
        <v/>
      </c>
    </row>
    <row r="1919" spans="1:8" ht="22" customHeight="1">
      <c r="A1919" s="1" t="str">
        <f>IF(AND('Loan Inputs'!$B$12,1913&lt;=IF('Loan Inputs'!$B$12,'Loan Inputs'!$B$7,0)*'Loan Inputs'!$B$14+5*'Loan Inputs'!$B$14,ISNUMBER(G1918),G1918&gt;0),1913,"")</f>
        <v/>
      </c>
      <c r="B1919" s="4" t="str">
        <f>IF(A1919="","",IF('Loan Inputs'!$B$14=12,DATE(YEAR('Loan Inputs'!$B$8),MONTH('Loan Inputs'!$B$8)+A1919,DAY('Loan Inputs'!$B$8)),'Loan Inputs'!$B$8+A1919*IF('Loan Inputs'!$B$14=26,14,7)))</f>
        <v/>
      </c>
      <c r="C1919" s="2" t="str">
        <f t="shared" si="89"/>
        <v/>
      </c>
      <c r="D1919" s="2" t="str">
        <f>IF(A1919="","",MIN('Loan Inputs'!$B$17,C1919+E1919)+H1919)</f>
        <v/>
      </c>
      <c r="E1919" s="2" t="str">
        <f>IF(A1919="","",C1919*'Loan Inputs'!$B$15)</f>
        <v/>
      </c>
      <c r="F1919" s="2" t="str">
        <f t="shared" si="87"/>
        <v/>
      </c>
      <c r="G1919" s="2" t="str">
        <f t="shared" si="88"/>
        <v/>
      </c>
      <c r="H1919" s="2" t="str">
        <f>IF(A1919="","",MIN('Loan Inputs'!$B$18,MAX(0,C1919+E1919-'Loan Inputs'!$B$17)))</f>
        <v/>
      </c>
    </row>
    <row r="1920" spans="1:8" ht="22" customHeight="1">
      <c r="A1920" s="1" t="str">
        <f>IF(AND('Loan Inputs'!$B$12,1914&lt;=IF('Loan Inputs'!$B$12,'Loan Inputs'!$B$7,0)*'Loan Inputs'!$B$14+5*'Loan Inputs'!$B$14,ISNUMBER(G1919),G1919&gt;0),1914,"")</f>
        <v/>
      </c>
      <c r="B1920" s="4" t="str">
        <f>IF(A1920="","",IF('Loan Inputs'!$B$14=12,DATE(YEAR('Loan Inputs'!$B$8),MONTH('Loan Inputs'!$B$8)+A1920,DAY('Loan Inputs'!$B$8)),'Loan Inputs'!$B$8+A1920*IF('Loan Inputs'!$B$14=26,14,7)))</f>
        <v/>
      </c>
      <c r="C1920" s="2" t="str">
        <f t="shared" si="89"/>
        <v/>
      </c>
      <c r="D1920" s="2" t="str">
        <f>IF(A1920="","",MIN('Loan Inputs'!$B$17,C1920+E1920)+H1920)</f>
        <v/>
      </c>
      <c r="E1920" s="2" t="str">
        <f>IF(A1920="","",C1920*'Loan Inputs'!$B$15)</f>
        <v/>
      </c>
      <c r="F1920" s="2" t="str">
        <f t="shared" si="87"/>
        <v/>
      </c>
      <c r="G1920" s="2" t="str">
        <f t="shared" si="88"/>
        <v/>
      </c>
      <c r="H1920" s="2" t="str">
        <f>IF(A1920="","",MIN('Loan Inputs'!$B$18,MAX(0,C1920+E1920-'Loan Inputs'!$B$17)))</f>
        <v/>
      </c>
    </row>
    <row r="1921" spans="1:8" ht="22" customHeight="1">
      <c r="A1921" s="1" t="str">
        <f>IF(AND('Loan Inputs'!$B$12,1915&lt;=IF('Loan Inputs'!$B$12,'Loan Inputs'!$B$7,0)*'Loan Inputs'!$B$14+5*'Loan Inputs'!$B$14,ISNUMBER(G1920),G1920&gt;0),1915,"")</f>
        <v/>
      </c>
      <c r="B1921" s="4" t="str">
        <f>IF(A1921="","",IF('Loan Inputs'!$B$14=12,DATE(YEAR('Loan Inputs'!$B$8),MONTH('Loan Inputs'!$B$8)+A1921,DAY('Loan Inputs'!$B$8)),'Loan Inputs'!$B$8+A1921*IF('Loan Inputs'!$B$14=26,14,7)))</f>
        <v/>
      </c>
      <c r="C1921" s="2" t="str">
        <f t="shared" si="89"/>
        <v/>
      </c>
      <c r="D1921" s="2" t="str">
        <f>IF(A1921="","",MIN('Loan Inputs'!$B$17,C1921+E1921)+H1921)</f>
        <v/>
      </c>
      <c r="E1921" s="2" t="str">
        <f>IF(A1921="","",C1921*'Loan Inputs'!$B$15)</f>
        <v/>
      </c>
      <c r="F1921" s="2" t="str">
        <f t="shared" si="87"/>
        <v/>
      </c>
      <c r="G1921" s="2" t="str">
        <f t="shared" si="88"/>
        <v/>
      </c>
      <c r="H1921" s="2" t="str">
        <f>IF(A1921="","",MIN('Loan Inputs'!$B$18,MAX(0,C1921+E1921-'Loan Inputs'!$B$17)))</f>
        <v/>
      </c>
    </row>
    <row r="1922" spans="1:8" ht="22" customHeight="1">
      <c r="A1922" s="1" t="str">
        <f>IF(AND('Loan Inputs'!$B$12,1916&lt;=IF('Loan Inputs'!$B$12,'Loan Inputs'!$B$7,0)*'Loan Inputs'!$B$14+5*'Loan Inputs'!$B$14,ISNUMBER(G1921),G1921&gt;0),1916,"")</f>
        <v/>
      </c>
      <c r="B1922" s="4" t="str">
        <f>IF(A1922="","",IF('Loan Inputs'!$B$14=12,DATE(YEAR('Loan Inputs'!$B$8),MONTH('Loan Inputs'!$B$8)+A1922,DAY('Loan Inputs'!$B$8)),'Loan Inputs'!$B$8+A1922*IF('Loan Inputs'!$B$14=26,14,7)))</f>
        <v/>
      </c>
      <c r="C1922" s="2" t="str">
        <f t="shared" si="89"/>
        <v/>
      </c>
      <c r="D1922" s="2" t="str">
        <f>IF(A1922="","",MIN('Loan Inputs'!$B$17,C1922+E1922)+H1922)</f>
        <v/>
      </c>
      <c r="E1922" s="2" t="str">
        <f>IF(A1922="","",C1922*'Loan Inputs'!$B$15)</f>
        <v/>
      </c>
      <c r="F1922" s="2" t="str">
        <f t="shared" si="87"/>
        <v/>
      </c>
      <c r="G1922" s="2" t="str">
        <f t="shared" si="88"/>
        <v/>
      </c>
      <c r="H1922" s="2" t="str">
        <f>IF(A1922="","",MIN('Loan Inputs'!$B$18,MAX(0,C1922+E1922-'Loan Inputs'!$B$17)))</f>
        <v/>
      </c>
    </row>
    <row r="1923" spans="1:8" ht="22" customHeight="1">
      <c r="A1923" s="1" t="str">
        <f>IF(AND('Loan Inputs'!$B$12,1917&lt;=IF('Loan Inputs'!$B$12,'Loan Inputs'!$B$7,0)*'Loan Inputs'!$B$14+5*'Loan Inputs'!$B$14,ISNUMBER(G1922),G1922&gt;0),1917,"")</f>
        <v/>
      </c>
      <c r="B1923" s="4" t="str">
        <f>IF(A1923="","",IF('Loan Inputs'!$B$14=12,DATE(YEAR('Loan Inputs'!$B$8),MONTH('Loan Inputs'!$B$8)+A1923,DAY('Loan Inputs'!$B$8)),'Loan Inputs'!$B$8+A1923*IF('Loan Inputs'!$B$14=26,14,7)))</f>
        <v/>
      </c>
      <c r="C1923" s="2" t="str">
        <f t="shared" si="89"/>
        <v/>
      </c>
      <c r="D1923" s="2" t="str">
        <f>IF(A1923="","",MIN('Loan Inputs'!$B$17,C1923+E1923)+H1923)</f>
        <v/>
      </c>
      <c r="E1923" s="2" t="str">
        <f>IF(A1923="","",C1923*'Loan Inputs'!$B$15)</f>
        <v/>
      </c>
      <c r="F1923" s="2" t="str">
        <f t="shared" si="87"/>
        <v/>
      </c>
      <c r="G1923" s="2" t="str">
        <f t="shared" si="88"/>
        <v/>
      </c>
      <c r="H1923" s="2" t="str">
        <f>IF(A1923="","",MIN('Loan Inputs'!$B$18,MAX(0,C1923+E1923-'Loan Inputs'!$B$17)))</f>
        <v/>
      </c>
    </row>
    <row r="1924" spans="1:8" ht="22" customHeight="1">
      <c r="A1924" s="1" t="str">
        <f>IF(AND('Loan Inputs'!$B$12,1918&lt;=IF('Loan Inputs'!$B$12,'Loan Inputs'!$B$7,0)*'Loan Inputs'!$B$14+5*'Loan Inputs'!$B$14,ISNUMBER(G1923),G1923&gt;0),1918,"")</f>
        <v/>
      </c>
      <c r="B1924" s="4" t="str">
        <f>IF(A1924="","",IF('Loan Inputs'!$B$14=12,DATE(YEAR('Loan Inputs'!$B$8),MONTH('Loan Inputs'!$B$8)+A1924,DAY('Loan Inputs'!$B$8)),'Loan Inputs'!$B$8+A1924*IF('Loan Inputs'!$B$14=26,14,7)))</f>
        <v/>
      </c>
      <c r="C1924" s="2" t="str">
        <f t="shared" si="89"/>
        <v/>
      </c>
      <c r="D1924" s="2" t="str">
        <f>IF(A1924="","",MIN('Loan Inputs'!$B$17,C1924+E1924)+H1924)</f>
        <v/>
      </c>
      <c r="E1924" s="2" t="str">
        <f>IF(A1924="","",C1924*'Loan Inputs'!$B$15)</f>
        <v/>
      </c>
      <c r="F1924" s="2" t="str">
        <f t="shared" si="87"/>
        <v/>
      </c>
      <c r="G1924" s="2" t="str">
        <f t="shared" si="88"/>
        <v/>
      </c>
      <c r="H1924" s="2" t="str">
        <f>IF(A1924="","",MIN('Loan Inputs'!$B$18,MAX(0,C1924+E1924-'Loan Inputs'!$B$17)))</f>
        <v/>
      </c>
    </row>
    <row r="1925" spans="1:8" ht="22" customHeight="1">
      <c r="A1925" s="1" t="str">
        <f>IF(AND('Loan Inputs'!$B$12,1919&lt;=IF('Loan Inputs'!$B$12,'Loan Inputs'!$B$7,0)*'Loan Inputs'!$B$14+5*'Loan Inputs'!$B$14,ISNUMBER(G1924),G1924&gt;0),1919,"")</f>
        <v/>
      </c>
      <c r="B1925" s="4" t="str">
        <f>IF(A1925="","",IF('Loan Inputs'!$B$14=12,DATE(YEAR('Loan Inputs'!$B$8),MONTH('Loan Inputs'!$B$8)+A1925,DAY('Loan Inputs'!$B$8)),'Loan Inputs'!$B$8+A1925*IF('Loan Inputs'!$B$14=26,14,7)))</f>
        <v/>
      </c>
      <c r="C1925" s="2" t="str">
        <f t="shared" si="89"/>
        <v/>
      </c>
      <c r="D1925" s="2" t="str">
        <f>IF(A1925="","",MIN('Loan Inputs'!$B$17,C1925+E1925)+H1925)</f>
        <v/>
      </c>
      <c r="E1925" s="2" t="str">
        <f>IF(A1925="","",C1925*'Loan Inputs'!$B$15)</f>
        <v/>
      </c>
      <c r="F1925" s="2" t="str">
        <f t="shared" si="87"/>
        <v/>
      </c>
      <c r="G1925" s="2" t="str">
        <f t="shared" si="88"/>
        <v/>
      </c>
      <c r="H1925" s="2" t="str">
        <f>IF(A1925="","",MIN('Loan Inputs'!$B$18,MAX(0,C1925+E1925-'Loan Inputs'!$B$17)))</f>
        <v/>
      </c>
    </row>
    <row r="1926" spans="1:8" ht="22" customHeight="1">
      <c r="A1926" s="1" t="str">
        <f>IF(AND('Loan Inputs'!$B$12,1920&lt;=IF('Loan Inputs'!$B$12,'Loan Inputs'!$B$7,0)*'Loan Inputs'!$B$14+5*'Loan Inputs'!$B$14,ISNUMBER(G1925),G1925&gt;0),1920,"")</f>
        <v/>
      </c>
      <c r="B1926" s="4" t="str">
        <f>IF(A1926="","",IF('Loan Inputs'!$B$14=12,DATE(YEAR('Loan Inputs'!$B$8),MONTH('Loan Inputs'!$B$8)+A1926,DAY('Loan Inputs'!$B$8)),'Loan Inputs'!$B$8+A1926*IF('Loan Inputs'!$B$14=26,14,7)))</f>
        <v/>
      </c>
      <c r="C1926" s="2" t="str">
        <f t="shared" si="89"/>
        <v/>
      </c>
      <c r="D1926" s="2" t="str">
        <f>IF(A1926="","",MIN('Loan Inputs'!$B$17,C1926+E1926)+H1926)</f>
        <v/>
      </c>
      <c r="E1926" s="2" t="str">
        <f>IF(A1926="","",C1926*'Loan Inputs'!$B$15)</f>
        <v/>
      </c>
      <c r="F1926" s="2" t="str">
        <f t="shared" si="87"/>
        <v/>
      </c>
      <c r="G1926" s="2" t="str">
        <f t="shared" si="88"/>
        <v/>
      </c>
      <c r="H1926" s="2" t="str">
        <f>IF(A1926="","",MIN('Loan Inputs'!$B$18,MAX(0,C1926+E1926-'Loan Inputs'!$B$17)))</f>
        <v/>
      </c>
    </row>
    <row r="1927" spans="1:8" ht="22" customHeight="1">
      <c r="A1927" s="1" t="str">
        <f>IF(AND('Loan Inputs'!$B$12,1921&lt;=IF('Loan Inputs'!$B$12,'Loan Inputs'!$B$7,0)*'Loan Inputs'!$B$14+5*'Loan Inputs'!$B$14,ISNUMBER(G1926),G1926&gt;0),1921,"")</f>
        <v/>
      </c>
      <c r="B1927" s="4" t="str">
        <f>IF(A1927="","",IF('Loan Inputs'!$B$14=12,DATE(YEAR('Loan Inputs'!$B$8),MONTH('Loan Inputs'!$B$8)+A1927,DAY('Loan Inputs'!$B$8)),'Loan Inputs'!$B$8+A1927*IF('Loan Inputs'!$B$14=26,14,7)))</f>
        <v/>
      </c>
      <c r="C1927" s="2" t="str">
        <f t="shared" si="89"/>
        <v/>
      </c>
      <c r="D1927" s="2" t="str">
        <f>IF(A1927="","",MIN('Loan Inputs'!$B$17,C1927+E1927)+H1927)</f>
        <v/>
      </c>
      <c r="E1927" s="2" t="str">
        <f>IF(A1927="","",C1927*'Loan Inputs'!$B$15)</f>
        <v/>
      </c>
      <c r="F1927" s="2" t="str">
        <f t="shared" ref="F1927:F1990" si="90">IF(A1927="","",MIN(C1927,D1927-E1927))</f>
        <v/>
      </c>
      <c r="G1927" s="2" t="str">
        <f t="shared" ref="G1927:G1990" si="91">IF(A1927="","",IF(C1927-F1927&lt;0.0000001,0,MAX(0,C1927-F1927)))</f>
        <v/>
      </c>
      <c r="H1927" s="2" t="str">
        <f>IF(A1927="","",MIN('Loan Inputs'!$B$18,MAX(0,C1927+E1927-'Loan Inputs'!$B$17)))</f>
        <v/>
      </c>
    </row>
    <row r="1928" spans="1:8" ht="22" customHeight="1">
      <c r="A1928" s="1" t="str">
        <f>IF(AND('Loan Inputs'!$B$12,1922&lt;=IF('Loan Inputs'!$B$12,'Loan Inputs'!$B$7,0)*'Loan Inputs'!$B$14+5*'Loan Inputs'!$B$14,ISNUMBER(G1927),G1927&gt;0),1922,"")</f>
        <v/>
      </c>
      <c r="B1928" s="4" t="str">
        <f>IF(A1928="","",IF('Loan Inputs'!$B$14=12,DATE(YEAR('Loan Inputs'!$B$8),MONTH('Loan Inputs'!$B$8)+A1928,DAY('Loan Inputs'!$B$8)),'Loan Inputs'!$B$8+A1928*IF('Loan Inputs'!$B$14=26,14,7)))</f>
        <v/>
      </c>
      <c r="C1928" s="2" t="str">
        <f t="shared" ref="C1928:C1991" si="92">IF(A1928="","",G1927)</f>
        <v/>
      </c>
      <c r="D1928" s="2" t="str">
        <f>IF(A1928="","",MIN('Loan Inputs'!$B$17,C1928+E1928)+H1928)</f>
        <v/>
      </c>
      <c r="E1928" s="2" t="str">
        <f>IF(A1928="","",C1928*'Loan Inputs'!$B$15)</f>
        <v/>
      </c>
      <c r="F1928" s="2" t="str">
        <f t="shared" si="90"/>
        <v/>
      </c>
      <c r="G1928" s="2" t="str">
        <f t="shared" si="91"/>
        <v/>
      </c>
      <c r="H1928" s="2" t="str">
        <f>IF(A1928="","",MIN('Loan Inputs'!$B$18,MAX(0,C1928+E1928-'Loan Inputs'!$B$17)))</f>
        <v/>
      </c>
    </row>
    <row r="1929" spans="1:8" ht="22" customHeight="1">
      <c r="A1929" s="1" t="str">
        <f>IF(AND('Loan Inputs'!$B$12,1923&lt;=IF('Loan Inputs'!$B$12,'Loan Inputs'!$B$7,0)*'Loan Inputs'!$B$14+5*'Loan Inputs'!$B$14,ISNUMBER(G1928),G1928&gt;0),1923,"")</f>
        <v/>
      </c>
      <c r="B1929" s="4" t="str">
        <f>IF(A1929="","",IF('Loan Inputs'!$B$14=12,DATE(YEAR('Loan Inputs'!$B$8),MONTH('Loan Inputs'!$B$8)+A1929,DAY('Loan Inputs'!$B$8)),'Loan Inputs'!$B$8+A1929*IF('Loan Inputs'!$B$14=26,14,7)))</f>
        <v/>
      </c>
      <c r="C1929" s="2" t="str">
        <f t="shared" si="92"/>
        <v/>
      </c>
      <c r="D1929" s="2" t="str">
        <f>IF(A1929="","",MIN('Loan Inputs'!$B$17,C1929+E1929)+H1929)</f>
        <v/>
      </c>
      <c r="E1929" s="2" t="str">
        <f>IF(A1929="","",C1929*'Loan Inputs'!$B$15)</f>
        <v/>
      </c>
      <c r="F1929" s="2" t="str">
        <f t="shared" si="90"/>
        <v/>
      </c>
      <c r="G1929" s="2" t="str">
        <f t="shared" si="91"/>
        <v/>
      </c>
      <c r="H1929" s="2" t="str">
        <f>IF(A1929="","",MIN('Loan Inputs'!$B$18,MAX(0,C1929+E1929-'Loan Inputs'!$B$17)))</f>
        <v/>
      </c>
    </row>
    <row r="1930" spans="1:8" ht="22" customHeight="1">
      <c r="A1930" s="1" t="str">
        <f>IF(AND('Loan Inputs'!$B$12,1924&lt;=IF('Loan Inputs'!$B$12,'Loan Inputs'!$B$7,0)*'Loan Inputs'!$B$14+5*'Loan Inputs'!$B$14,ISNUMBER(G1929),G1929&gt;0),1924,"")</f>
        <v/>
      </c>
      <c r="B1930" s="4" t="str">
        <f>IF(A1930="","",IF('Loan Inputs'!$B$14=12,DATE(YEAR('Loan Inputs'!$B$8),MONTH('Loan Inputs'!$B$8)+A1930,DAY('Loan Inputs'!$B$8)),'Loan Inputs'!$B$8+A1930*IF('Loan Inputs'!$B$14=26,14,7)))</f>
        <v/>
      </c>
      <c r="C1930" s="2" t="str">
        <f t="shared" si="92"/>
        <v/>
      </c>
      <c r="D1930" s="2" t="str">
        <f>IF(A1930="","",MIN('Loan Inputs'!$B$17,C1930+E1930)+H1930)</f>
        <v/>
      </c>
      <c r="E1930" s="2" t="str">
        <f>IF(A1930="","",C1930*'Loan Inputs'!$B$15)</f>
        <v/>
      </c>
      <c r="F1930" s="2" t="str">
        <f t="shared" si="90"/>
        <v/>
      </c>
      <c r="G1930" s="2" t="str">
        <f t="shared" si="91"/>
        <v/>
      </c>
      <c r="H1930" s="2" t="str">
        <f>IF(A1930="","",MIN('Loan Inputs'!$B$18,MAX(0,C1930+E1930-'Loan Inputs'!$B$17)))</f>
        <v/>
      </c>
    </row>
    <row r="1931" spans="1:8" ht="22" customHeight="1">
      <c r="A1931" s="1" t="str">
        <f>IF(AND('Loan Inputs'!$B$12,1925&lt;=IF('Loan Inputs'!$B$12,'Loan Inputs'!$B$7,0)*'Loan Inputs'!$B$14+5*'Loan Inputs'!$B$14,ISNUMBER(G1930),G1930&gt;0),1925,"")</f>
        <v/>
      </c>
      <c r="B1931" s="4" t="str">
        <f>IF(A1931="","",IF('Loan Inputs'!$B$14=12,DATE(YEAR('Loan Inputs'!$B$8),MONTH('Loan Inputs'!$B$8)+A1931,DAY('Loan Inputs'!$B$8)),'Loan Inputs'!$B$8+A1931*IF('Loan Inputs'!$B$14=26,14,7)))</f>
        <v/>
      </c>
      <c r="C1931" s="2" t="str">
        <f t="shared" si="92"/>
        <v/>
      </c>
      <c r="D1931" s="2" t="str">
        <f>IF(A1931="","",MIN('Loan Inputs'!$B$17,C1931+E1931)+H1931)</f>
        <v/>
      </c>
      <c r="E1931" s="2" t="str">
        <f>IF(A1931="","",C1931*'Loan Inputs'!$B$15)</f>
        <v/>
      </c>
      <c r="F1931" s="2" t="str">
        <f t="shared" si="90"/>
        <v/>
      </c>
      <c r="G1931" s="2" t="str">
        <f t="shared" si="91"/>
        <v/>
      </c>
      <c r="H1931" s="2" t="str">
        <f>IF(A1931="","",MIN('Loan Inputs'!$B$18,MAX(0,C1931+E1931-'Loan Inputs'!$B$17)))</f>
        <v/>
      </c>
    </row>
    <row r="1932" spans="1:8" ht="22" customHeight="1">
      <c r="A1932" s="1" t="str">
        <f>IF(AND('Loan Inputs'!$B$12,1926&lt;=IF('Loan Inputs'!$B$12,'Loan Inputs'!$B$7,0)*'Loan Inputs'!$B$14+5*'Loan Inputs'!$B$14,ISNUMBER(G1931),G1931&gt;0),1926,"")</f>
        <v/>
      </c>
      <c r="B1932" s="4" t="str">
        <f>IF(A1932="","",IF('Loan Inputs'!$B$14=12,DATE(YEAR('Loan Inputs'!$B$8),MONTH('Loan Inputs'!$B$8)+A1932,DAY('Loan Inputs'!$B$8)),'Loan Inputs'!$B$8+A1932*IF('Loan Inputs'!$B$14=26,14,7)))</f>
        <v/>
      </c>
      <c r="C1932" s="2" t="str">
        <f t="shared" si="92"/>
        <v/>
      </c>
      <c r="D1932" s="2" t="str">
        <f>IF(A1932="","",MIN('Loan Inputs'!$B$17,C1932+E1932)+H1932)</f>
        <v/>
      </c>
      <c r="E1932" s="2" t="str">
        <f>IF(A1932="","",C1932*'Loan Inputs'!$B$15)</f>
        <v/>
      </c>
      <c r="F1932" s="2" t="str">
        <f t="shared" si="90"/>
        <v/>
      </c>
      <c r="G1932" s="2" t="str">
        <f t="shared" si="91"/>
        <v/>
      </c>
      <c r="H1932" s="2" t="str">
        <f>IF(A1932="","",MIN('Loan Inputs'!$B$18,MAX(0,C1932+E1932-'Loan Inputs'!$B$17)))</f>
        <v/>
      </c>
    </row>
    <row r="1933" spans="1:8" ht="22" customHeight="1">
      <c r="A1933" s="1" t="str">
        <f>IF(AND('Loan Inputs'!$B$12,1927&lt;=IF('Loan Inputs'!$B$12,'Loan Inputs'!$B$7,0)*'Loan Inputs'!$B$14+5*'Loan Inputs'!$B$14,ISNUMBER(G1932),G1932&gt;0),1927,"")</f>
        <v/>
      </c>
      <c r="B1933" s="4" t="str">
        <f>IF(A1933="","",IF('Loan Inputs'!$B$14=12,DATE(YEAR('Loan Inputs'!$B$8),MONTH('Loan Inputs'!$B$8)+A1933,DAY('Loan Inputs'!$B$8)),'Loan Inputs'!$B$8+A1933*IF('Loan Inputs'!$B$14=26,14,7)))</f>
        <v/>
      </c>
      <c r="C1933" s="2" t="str">
        <f t="shared" si="92"/>
        <v/>
      </c>
      <c r="D1933" s="2" t="str">
        <f>IF(A1933="","",MIN('Loan Inputs'!$B$17,C1933+E1933)+H1933)</f>
        <v/>
      </c>
      <c r="E1933" s="2" t="str">
        <f>IF(A1933="","",C1933*'Loan Inputs'!$B$15)</f>
        <v/>
      </c>
      <c r="F1933" s="2" t="str">
        <f t="shared" si="90"/>
        <v/>
      </c>
      <c r="G1933" s="2" t="str">
        <f t="shared" si="91"/>
        <v/>
      </c>
      <c r="H1933" s="2" t="str">
        <f>IF(A1933="","",MIN('Loan Inputs'!$B$18,MAX(0,C1933+E1933-'Loan Inputs'!$B$17)))</f>
        <v/>
      </c>
    </row>
    <row r="1934" spans="1:8" ht="22" customHeight="1">
      <c r="A1934" s="1" t="str">
        <f>IF(AND('Loan Inputs'!$B$12,1928&lt;=IF('Loan Inputs'!$B$12,'Loan Inputs'!$B$7,0)*'Loan Inputs'!$B$14+5*'Loan Inputs'!$B$14,ISNUMBER(G1933),G1933&gt;0),1928,"")</f>
        <v/>
      </c>
      <c r="B1934" s="4" t="str">
        <f>IF(A1934="","",IF('Loan Inputs'!$B$14=12,DATE(YEAR('Loan Inputs'!$B$8),MONTH('Loan Inputs'!$B$8)+A1934,DAY('Loan Inputs'!$B$8)),'Loan Inputs'!$B$8+A1934*IF('Loan Inputs'!$B$14=26,14,7)))</f>
        <v/>
      </c>
      <c r="C1934" s="2" t="str">
        <f t="shared" si="92"/>
        <v/>
      </c>
      <c r="D1934" s="2" t="str">
        <f>IF(A1934="","",MIN('Loan Inputs'!$B$17,C1934+E1934)+H1934)</f>
        <v/>
      </c>
      <c r="E1934" s="2" t="str">
        <f>IF(A1934="","",C1934*'Loan Inputs'!$B$15)</f>
        <v/>
      </c>
      <c r="F1934" s="2" t="str">
        <f t="shared" si="90"/>
        <v/>
      </c>
      <c r="G1934" s="2" t="str">
        <f t="shared" si="91"/>
        <v/>
      </c>
      <c r="H1934" s="2" t="str">
        <f>IF(A1934="","",MIN('Loan Inputs'!$B$18,MAX(0,C1934+E1934-'Loan Inputs'!$B$17)))</f>
        <v/>
      </c>
    </row>
    <row r="1935" spans="1:8" ht="22" customHeight="1">
      <c r="A1935" s="1" t="str">
        <f>IF(AND('Loan Inputs'!$B$12,1929&lt;=IF('Loan Inputs'!$B$12,'Loan Inputs'!$B$7,0)*'Loan Inputs'!$B$14+5*'Loan Inputs'!$B$14,ISNUMBER(G1934),G1934&gt;0),1929,"")</f>
        <v/>
      </c>
      <c r="B1935" s="4" t="str">
        <f>IF(A1935="","",IF('Loan Inputs'!$B$14=12,DATE(YEAR('Loan Inputs'!$B$8),MONTH('Loan Inputs'!$B$8)+A1935,DAY('Loan Inputs'!$B$8)),'Loan Inputs'!$B$8+A1935*IF('Loan Inputs'!$B$14=26,14,7)))</f>
        <v/>
      </c>
      <c r="C1935" s="2" t="str">
        <f t="shared" si="92"/>
        <v/>
      </c>
      <c r="D1935" s="2" t="str">
        <f>IF(A1935="","",MIN('Loan Inputs'!$B$17,C1935+E1935)+H1935)</f>
        <v/>
      </c>
      <c r="E1935" s="2" t="str">
        <f>IF(A1935="","",C1935*'Loan Inputs'!$B$15)</f>
        <v/>
      </c>
      <c r="F1935" s="2" t="str">
        <f t="shared" si="90"/>
        <v/>
      </c>
      <c r="G1935" s="2" t="str">
        <f t="shared" si="91"/>
        <v/>
      </c>
      <c r="H1935" s="2" t="str">
        <f>IF(A1935="","",MIN('Loan Inputs'!$B$18,MAX(0,C1935+E1935-'Loan Inputs'!$B$17)))</f>
        <v/>
      </c>
    </row>
    <row r="1936" spans="1:8" ht="22" customHeight="1">
      <c r="A1936" s="1" t="str">
        <f>IF(AND('Loan Inputs'!$B$12,1930&lt;=IF('Loan Inputs'!$B$12,'Loan Inputs'!$B$7,0)*'Loan Inputs'!$B$14+5*'Loan Inputs'!$B$14,ISNUMBER(G1935),G1935&gt;0),1930,"")</f>
        <v/>
      </c>
      <c r="B1936" s="4" t="str">
        <f>IF(A1936="","",IF('Loan Inputs'!$B$14=12,DATE(YEAR('Loan Inputs'!$B$8),MONTH('Loan Inputs'!$B$8)+A1936,DAY('Loan Inputs'!$B$8)),'Loan Inputs'!$B$8+A1936*IF('Loan Inputs'!$B$14=26,14,7)))</f>
        <v/>
      </c>
      <c r="C1936" s="2" t="str">
        <f t="shared" si="92"/>
        <v/>
      </c>
      <c r="D1936" s="2" t="str">
        <f>IF(A1936="","",MIN('Loan Inputs'!$B$17,C1936+E1936)+H1936)</f>
        <v/>
      </c>
      <c r="E1936" s="2" t="str">
        <f>IF(A1936="","",C1936*'Loan Inputs'!$B$15)</f>
        <v/>
      </c>
      <c r="F1936" s="2" t="str">
        <f t="shared" si="90"/>
        <v/>
      </c>
      <c r="G1936" s="2" t="str">
        <f t="shared" si="91"/>
        <v/>
      </c>
      <c r="H1936" s="2" t="str">
        <f>IF(A1936="","",MIN('Loan Inputs'!$B$18,MAX(0,C1936+E1936-'Loan Inputs'!$B$17)))</f>
        <v/>
      </c>
    </row>
    <row r="1937" spans="1:8" ht="22" customHeight="1">
      <c r="A1937" s="1" t="str">
        <f>IF(AND('Loan Inputs'!$B$12,1931&lt;=IF('Loan Inputs'!$B$12,'Loan Inputs'!$B$7,0)*'Loan Inputs'!$B$14+5*'Loan Inputs'!$B$14,ISNUMBER(G1936),G1936&gt;0),1931,"")</f>
        <v/>
      </c>
      <c r="B1937" s="4" t="str">
        <f>IF(A1937="","",IF('Loan Inputs'!$B$14=12,DATE(YEAR('Loan Inputs'!$B$8),MONTH('Loan Inputs'!$B$8)+A1937,DAY('Loan Inputs'!$B$8)),'Loan Inputs'!$B$8+A1937*IF('Loan Inputs'!$B$14=26,14,7)))</f>
        <v/>
      </c>
      <c r="C1937" s="2" t="str">
        <f t="shared" si="92"/>
        <v/>
      </c>
      <c r="D1937" s="2" t="str">
        <f>IF(A1937="","",MIN('Loan Inputs'!$B$17,C1937+E1937)+H1937)</f>
        <v/>
      </c>
      <c r="E1937" s="2" t="str">
        <f>IF(A1937="","",C1937*'Loan Inputs'!$B$15)</f>
        <v/>
      </c>
      <c r="F1937" s="2" t="str">
        <f t="shared" si="90"/>
        <v/>
      </c>
      <c r="G1937" s="2" t="str">
        <f t="shared" si="91"/>
        <v/>
      </c>
      <c r="H1937" s="2" t="str">
        <f>IF(A1937="","",MIN('Loan Inputs'!$B$18,MAX(0,C1937+E1937-'Loan Inputs'!$B$17)))</f>
        <v/>
      </c>
    </row>
    <row r="1938" spans="1:8" ht="22" customHeight="1">
      <c r="A1938" s="1" t="str">
        <f>IF(AND('Loan Inputs'!$B$12,1932&lt;=IF('Loan Inputs'!$B$12,'Loan Inputs'!$B$7,0)*'Loan Inputs'!$B$14+5*'Loan Inputs'!$B$14,ISNUMBER(G1937),G1937&gt;0),1932,"")</f>
        <v/>
      </c>
      <c r="B1938" s="4" t="str">
        <f>IF(A1938="","",IF('Loan Inputs'!$B$14=12,DATE(YEAR('Loan Inputs'!$B$8),MONTH('Loan Inputs'!$B$8)+A1938,DAY('Loan Inputs'!$B$8)),'Loan Inputs'!$B$8+A1938*IF('Loan Inputs'!$B$14=26,14,7)))</f>
        <v/>
      </c>
      <c r="C1938" s="2" t="str">
        <f t="shared" si="92"/>
        <v/>
      </c>
      <c r="D1938" s="2" t="str">
        <f>IF(A1938="","",MIN('Loan Inputs'!$B$17,C1938+E1938)+H1938)</f>
        <v/>
      </c>
      <c r="E1938" s="2" t="str">
        <f>IF(A1938="","",C1938*'Loan Inputs'!$B$15)</f>
        <v/>
      </c>
      <c r="F1938" s="2" t="str">
        <f t="shared" si="90"/>
        <v/>
      </c>
      <c r="G1938" s="2" t="str">
        <f t="shared" si="91"/>
        <v/>
      </c>
      <c r="H1938" s="2" t="str">
        <f>IF(A1938="","",MIN('Loan Inputs'!$B$18,MAX(0,C1938+E1938-'Loan Inputs'!$B$17)))</f>
        <v/>
      </c>
    </row>
    <row r="1939" spans="1:8" ht="22" customHeight="1">
      <c r="A1939" s="1" t="str">
        <f>IF(AND('Loan Inputs'!$B$12,1933&lt;=IF('Loan Inputs'!$B$12,'Loan Inputs'!$B$7,0)*'Loan Inputs'!$B$14+5*'Loan Inputs'!$B$14,ISNUMBER(G1938),G1938&gt;0),1933,"")</f>
        <v/>
      </c>
      <c r="B1939" s="4" t="str">
        <f>IF(A1939="","",IF('Loan Inputs'!$B$14=12,DATE(YEAR('Loan Inputs'!$B$8),MONTH('Loan Inputs'!$B$8)+A1939,DAY('Loan Inputs'!$B$8)),'Loan Inputs'!$B$8+A1939*IF('Loan Inputs'!$B$14=26,14,7)))</f>
        <v/>
      </c>
      <c r="C1939" s="2" t="str">
        <f t="shared" si="92"/>
        <v/>
      </c>
      <c r="D1939" s="2" t="str">
        <f>IF(A1939="","",MIN('Loan Inputs'!$B$17,C1939+E1939)+H1939)</f>
        <v/>
      </c>
      <c r="E1939" s="2" t="str">
        <f>IF(A1939="","",C1939*'Loan Inputs'!$B$15)</f>
        <v/>
      </c>
      <c r="F1939" s="2" t="str">
        <f t="shared" si="90"/>
        <v/>
      </c>
      <c r="G1939" s="2" t="str">
        <f t="shared" si="91"/>
        <v/>
      </c>
      <c r="H1939" s="2" t="str">
        <f>IF(A1939="","",MIN('Loan Inputs'!$B$18,MAX(0,C1939+E1939-'Loan Inputs'!$B$17)))</f>
        <v/>
      </c>
    </row>
    <row r="1940" spans="1:8" ht="22" customHeight="1">
      <c r="A1940" s="1" t="str">
        <f>IF(AND('Loan Inputs'!$B$12,1934&lt;=IF('Loan Inputs'!$B$12,'Loan Inputs'!$B$7,0)*'Loan Inputs'!$B$14+5*'Loan Inputs'!$B$14,ISNUMBER(G1939),G1939&gt;0),1934,"")</f>
        <v/>
      </c>
      <c r="B1940" s="4" t="str">
        <f>IF(A1940="","",IF('Loan Inputs'!$B$14=12,DATE(YEAR('Loan Inputs'!$B$8),MONTH('Loan Inputs'!$B$8)+A1940,DAY('Loan Inputs'!$B$8)),'Loan Inputs'!$B$8+A1940*IF('Loan Inputs'!$B$14=26,14,7)))</f>
        <v/>
      </c>
      <c r="C1940" s="2" t="str">
        <f t="shared" si="92"/>
        <v/>
      </c>
      <c r="D1940" s="2" t="str">
        <f>IF(A1940="","",MIN('Loan Inputs'!$B$17,C1940+E1940)+H1940)</f>
        <v/>
      </c>
      <c r="E1940" s="2" t="str">
        <f>IF(A1940="","",C1940*'Loan Inputs'!$B$15)</f>
        <v/>
      </c>
      <c r="F1940" s="2" t="str">
        <f t="shared" si="90"/>
        <v/>
      </c>
      <c r="G1940" s="2" t="str">
        <f t="shared" si="91"/>
        <v/>
      </c>
      <c r="H1940" s="2" t="str">
        <f>IF(A1940="","",MIN('Loan Inputs'!$B$18,MAX(0,C1940+E1940-'Loan Inputs'!$B$17)))</f>
        <v/>
      </c>
    </row>
    <row r="1941" spans="1:8" ht="22" customHeight="1">
      <c r="A1941" s="1" t="str">
        <f>IF(AND('Loan Inputs'!$B$12,1935&lt;=IF('Loan Inputs'!$B$12,'Loan Inputs'!$B$7,0)*'Loan Inputs'!$B$14+5*'Loan Inputs'!$B$14,ISNUMBER(G1940),G1940&gt;0),1935,"")</f>
        <v/>
      </c>
      <c r="B1941" s="4" t="str">
        <f>IF(A1941="","",IF('Loan Inputs'!$B$14=12,DATE(YEAR('Loan Inputs'!$B$8),MONTH('Loan Inputs'!$B$8)+A1941,DAY('Loan Inputs'!$B$8)),'Loan Inputs'!$B$8+A1941*IF('Loan Inputs'!$B$14=26,14,7)))</f>
        <v/>
      </c>
      <c r="C1941" s="2" t="str">
        <f t="shared" si="92"/>
        <v/>
      </c>
      <c r="D1941" s="2" t="str">
        <f>IF(A1941="","",MIN('Loan Inputs'!$B$17,C1941+E1941)+H1941)</f>
        <v/>
      </c>
      <c r="E1941" s="2" t="str">
        <f>IF(A1941="","",C1941*'Loan Inputs'!$B$15)</f>
        <v/>
      </c>
      <c r="F1941" s="2" t="str">
        <f t="shared" si="90"/>
        <v/>
      </c>
      <c r="G1941" s="2" t="str">
        <f t="shared" si="91"/>
        <v/>
      </c>
      <c r="H1941" s="2" t="str">
        <f>IF(A1941="","",MIN('Loan Inputs'!$B$18,MAX(0,C1941+E1941-'Loan Inputs'!$B$17)))</f>
        <v/>
      </c>
    </row>
    <row r="1942" spans="1:8" ht="22" customHeight="1">
      <c r="A1942" s="1" t="str">
        <f>IF(AND('Loan Inputs'!$B$12,1936&lt;=IF('Loan Inputs'!$B$12,'Loan Inputs'!$B$7,0)*'Loan Inputs'!$B$14+5*'Loan Inputs'!$B$14,ISNUMBER(G1941),G1941&gt;0),1936,"")</f>
        <v/>
      </c>
      <c r="B1942" s="4" t="str">
        <f>IF(A1942="","",IF('Loan Inputs'!$B$14=12,DATE(YEAR('Loan Inputs'!$B$8),MONTH('Loan Inputs'!$B$8)+A1942,DAY('Loan Inputs'!$B$8)),'Loan Inputs'!$B$8+A1942*IF('Loan Inputs'!$B$14=26,14,7)))</f>
        <v/>
      </c>
      <c r="C1942" s="2" t="str">
        <f t="shared" si="92"/>
        <v/>
      </c>
      <c r="D1942" s="2" t="str">
        <f>IF(A1942="","",MIN('Loan Inputs'!$B$17,C1942+E1942)+H1942)</f>
        <v/>
      </c>
      <c r="E1942" s="2" t="str">
        <f>IF(A1942="","",C1942*'Loan Inputs'!$B$15)</f>
        <v/>
      </c>
      <c r="F1942" s="2" t="str">
        <f t="shared" si="90"/>
        <v/>
      </c>
      <c r="G1942" s="2" t="str">
        <f t="shared" si="91"/>
        <v/>
      </c>
      <c r="H1942" s="2" t="str">
        <f>IF(A1942="","",MIN('Loan Inputs'!$B$18,MAX(0,C1942+E1942-'Loan Inputs'!$B$17)))</f>
        <v/>
      </c>
    </row>
    <row r="1943" spans="1:8" ht="22" customHeight="1">
      <c r="A1943" s="1" t="str">
        <f>IF(AND('Loan Inputs'!$B$12,1937&lt;=IF('Loan Inputs'!$B$12,'Loan Inputs'!$B$7,0)*'Loan Inputs'!$B$14+5*'Loan Inputs'!$B$14,ISNUMBER(G1942),G1942&gt;0),1937,"")</f>
        <v/>
      </c>
      <c r="B1943" s="4" t="str">
        <f>IF(A1943="","",IF('Loan Inputs'!$B$14=12,DATE(YEAR('Loan Inputs'!$B$8),MONTH('Loan Inputs'!$B$8)+A1943,DAY('Loan Inputs'!$B$8)),'Loan Inputs'!$B$8+A1943*IF('Loan Inputs'!$B$14=26,14,7)))</f>
        <v/>
      </c>
      <c r="C1943" s="2" t="str">
        <f t="shared" si="92"/>
        <v/>
      </c>
      <c r="D1943" s="2" t="str">
        <f>IF(A1943="","",MIN('Loan Inputs'!$B$17,C1943+E1943)+H1943)</f>
        <v/>
      </c>
      <c r="E1943" s="2" t="str">
        <f>IF(A1943="","",C1943*'Loan Inputs'!$B$15)</f>
        <v/>
      </c>
      <c r="F1943" s="2" t="str">
        <f t="shared" si="90"/>
        <v/>
      </c>
      <c r="G1943" s="2" t="str">
        <f t="shared" si="91"/>
        <v/>
      </c>
      <c r="H1943" s="2" t="str">
        <f>IF(A1943="","",MIN('Loan Inputs'!$B$18,MAX(0,C1943+E1943-'Loan Inputs'!$B$17)))</f>
        <v/>
      </c>
    </row>
    <row r="1944" spans="1:8" ht="22" customHeight="1">
      <c r="A1944" s="1" t="str">
        <f>IF(AND('Loan Inputs'!$B$12,1938&lt;=IF('Loan Inputs'!$B$12,'Loan Inputs'!$B$7,0)*'Loan Inputs'!$B$14+5*'Loan Inputs'!$B$14,ISNUMBER(G1943),G1943&gt;0),1938,"")</f>
        <v/>
      </c>
      <c r="B1944" s="4" t="str">
        <f>IF(A1944="","",IF('Loan Inputs'!$B$14=12,DATE(YEAR('Loan Inputs'!$B$8),MONTH('Loan Inputs'!$B$8)+A1944,DAY('Loan Inputs'!$B$8)),'Loan Inputs'!$B$8+A1944*IF('Loan Inputs'!$B$14=26,14,7)))</f>
        <v/>
      </c>
      <c r="C1944" s="2" t="str">
        <f t="shared" si="92"/>
        <v/>
      </c>
      <c r="D1944" s="2" t="str">
        <f>IF(A1944="","",MIN('Loan Inputs'!$B$17,C1944+E1944)+H1944)</f>
        <v/>
      </c>
      <c r="E1944" s="2" t="str">
        <f>IF(A1944="","",C1944*'Loan Inputs'!$B$15)</f>
        <v/>
      </c>
      <c r="F1944" s="2" t="str">
        <f t="shared" si="90"/>
        <v/>
      </c>
      <c r="G1944" s="2" t="str">
        <f t="shared" si="91"/>
        <v/>
      </c>
      <c r="H1944" s="2" t="str">
        <f>IF(A1944="","",MIN('Loan Inputs'!$B$18,MAX(0,C1944+E1944-'Loan Inputs'!$B$17)))</f>
        <v/>
      </c>
    </row>
    <row r="1945" spans="1:8" ht="22" customHeight="1">
      <c r="A1945" s="1" t="str">
        <f>IF(AND('Loan Inputs'!$B$12,1939&lt;=IF('Loan Inputs'!$B$12,'Loan Inputs'!$B$7,0)*'Loan Inputs'!$B$14+5*'Loan Inputs'!$B$14,ISNUMBER(G1944),G1944&gt;0),1939,"")</f>
        <v/>
      </c>
      <c r="B1945" s="4" t="str">
        <f>IF(A1945="","",IF('Loan Inputs'!$B$14=12,DATE(YEAR('Loan Inputs'!$B$8),MONTH('Loan Inputs'!$B$8)+A1945,DAY('Loan Inputs'!$B$8)),'Loan Inputs'!$B$8+A1945*IF('Loan Inputs'!$B$14=26,14,7)))</f>
        <v/>
      </c>
      <c r="C1945" s="2" t="str">
        <f t="shared" si="92"/>
        <v/>
      </c>
      <c r="D1945" s="2" t="str">
        <f>IF(A1945="","",MIN('Loan Inputs'!$B$17,C1945+E1945)+H1945)</f>
        <v/>
      </c>
      <c r="E1945" s="2" t="str">
        <f>IF(A1945="","",C1945*'Loan Inputs'!$B$15)</f>
        <v/>
      </c>
      <c r="F1945" s="2" t="str">
        <f t="shared" si="90"/>
        <v/>
      </c>
      <c r="G1945" s="2" t="str">
        <f t="shared" si="91"/>
        <v/>
      </c>
      <c r="H1945" s="2" t="str">
        <f>IF(A1945="","",MIN('Loan Inputs'!$B$18,MAX(0,C1945+E1945-'Loan Inputs'!$B$17)))</f>
        <v/>
      </c>
    </row>
    <row r="1946" spans="1:8" ht="22" customHeight="1">
      <c r="A1946" s="1" t="str">
        <f>IF(AND('Loan Inputs'!$B$12,1940&lt;=IF('Loan Inputs'!$B$12,'Loan Inputs'!$B$7,0)*'Loan Inputs'!$B$14+5*'Loan Inputs'!$B$14,ISNUMBER(G1945),G1945&gt;0),1940,"")</f>
        <v/>
      </c>
      <c r="B1946" s="4" t="str">
        <f>IF(A1946="","",IF('Loan Inputs'!$B$14=12,DATE(YEAR('Loan Inputs'!$B$8),MONTH('Loan Inputs'!$B$8)+A1946,DAY('Loan Inputs'!$B$8)),'Loan Inputs'!$B$8+A1946*IF('Loan Inputs'!$B$14=26,14,7)))</f>
        <v/>
      </c>
      <c r="C1946" s="2" t="str">
        <f t="shared" si="92"/>
        <v/>
      </c>
      <c r="D1946" s="2" t="str">
        <f>IF(A1946="","",MIN('Loan Inputs'!$B$17,C1946+E1946)+H1946)</f>
        <v/>
      </c>
      <c r="E1946" s="2" t="str">
        <f>IF(A1946="","",C1946*'Loan Inputs'!$B$15)</f>
        <v/>
      </c>
      <c r="F1946" s="2" t="str">
        <f t="shared" si="90"/>
        <v/>
      </c>
      <c r="G1946" s="2" t="str">
        <f t="shared" si="91"/>
        <v/>
      </c>
      <c r="H1946" s="2" t="str">
        <f>IF(A1946="","",MIN('Loan Inputs'!$B$18,MAX(0,C1946+E1946-'Loan Inputs'!$B$17)))</f>
        <v/>
      </c>
    </row>
    <row r="1947" spans="1:8" ht="22" customHeight="1">
      <c r="A1947" s="1" t="str">
        <f>IF(AND('Loan Inputs'!$B$12,1941&lt;=IF('Loan Inputs'!$B$12,'Loan Inputs'!$B$7,0)*'Loan Inputs'!$B$14+5*'Loan Inputs'!$B$14,ISNUMBER(G1946),G1946&gt;0),1941,"")</f>
        <v/>
      </c>
      <c r="B1947" s="4" t="str">
        <f>IF(A1947="","",IF('Loan Inputs'!$B$14=12,DATE(YEAR('Loan Inputs'!$B$8),MONTH('Loan Inputs'!$B$8)+A1947,DAY('Loan Inputs'!$B$8)),'Loan Inputs'!$B$8+A1947*IF('Loan Inputs'!$B$14=26,14,7)))</f>
        <v/>
      </c>
      <c r="C1947" s="2" t="str">
        <f t="shared" si="92"/>
        <v/>
      </c>
      <c r="D1947" s="2" t="str">
        <f>IF(A1947="","",MIN('Loan Inputs'!$B$17,C1947+E1947)+H1947)</f>
        <v/>
      </c>
      <c r="E1947" s="2" t="str">
        <f>IF(A1947="","",C1947*'Loan Inputs'!$B$15)</f>
        <v/>
      </c>
      <c r="F1947" s="2" t="str">
        <f t="shared" si="90"/>
        <v/>
      </c>
      <c r="G1947" s="2" t="str">
        <f t="shared" si="91"/>
        <v/>
      </c>
      <c r="H1947" s="2" t="str">
        <f>IF(A1947="","",MIN('Loan Inputs'!$B$18,MAX(0,C1947+E1947-'Loan Inputs'!$B$17)))</f>
        <v/>
      </c>
    </row>
    <row r="1948" spans="1:8" ht="22" customHeight="1">
      <c r="A1948" s="1" t="str">
        <f>IF(AND('Loan Inputs'!$B$12,1942&lt;=IF('Loan Inputs'!$B$12,'Loan Inputs'!$B$7,0)*'Loan Inputs'!$B$14+5*'Loan Inputs'!$B$14,ISNUMBER(G1947),G1947&gt;0),1942,"")</f>
        <v/>
      </c>
      <c r="B1948" s="4" t="str">
        <f>IF(A1948="","",IF('Loan Inputs'!$B$14=12,DATE(YEAR('Loan Inputs'!$B$8),MONTH('Loan Inputs'!$B$8)+A1948,DAY('Loan Inputs'!$B$8)),'Loan Inputs'!$B$8+A1948*IF('Loan Inputs'!$B$14=26,14,7)))</f>
        <v/>
      </c>
      <c r="C1948" s="2" t="str">
        <f t="shared" si="92"/>
        <v/>
      </c>
      <c r="D1948" s="2" t="str">
        <f>IF(A1948="","",MIN('Loan Inputs'!$B$17,C1948+E1948)+H1948)</f>
        <v/>
      </c>
      <c r="E1948" s="2" t="str">
        <f>IF(A1948="","",C1948*'Loan Inputs'!$B$15)</f>
        <v/>
      </c>
      <c r="F1948" s="2" t="str">
        <f t="shared" si="90"/>
        <v/>
      </c>
      <c r="G1948" s="2" t="str">
        <f t="shared" si="91"/>
        <v/>
      </c>
      <c r="H1948" s="2" t="str">
        <f>IF(A1948="","",MIN('Loan Inputs'!$B$18,MAX(0,C1948+E1948-'Loan Inputs'!$B$17)))</f>
        <v/>
      </c>
    </row>
    <row r="1949" spans="1:8" ht="22" customHeight="1">
      <c r="A1949" s="1" t="str">
        <f>IF(AND('Loan Inputs'!$B$12,1943&lt;=IF('Loan Inputs'!$B$12,'Loan Inputs'!$B$7,0)*'Loan Inputs'!$B$14+5*'Loan Inputs'!$B$14,ISNUMBER(G1948),G1948&gt;0),1943,"")</f>
        <v/>
      </c>
      <c r="B1949" s="4" t="str">
        <f>IF(A1949="","",IF('Loan Inputs'!$B$14=12,DATE(YEAR('Loan Inputs'!$B$8),MONTH('Loan Inputs'!$B$8)+A1949,DAY('Loan Inputs'!$B$8)),'Loan Inputs'!$B$8+A1949*IF('Loan Inputs'!$B$14=26,14,7)))</f>
        <v/>
      </c>
      <c r="C1949" s="2" t="str">
        <f t="shared" si="92"/>
        <v/>
      </c>
      <c r="D1949" s="2" t="str">
        <f>IF(A1949="","",MIN('Loan Inputs'!$B$17,C1949+E1949)+H1949)</f>
        <v/>
      </c>
      <c r="E1949" s="2" t="str">
        <f>IF(A1949="","",C1949*'Loan Inputs'!$B$15)</f>
        <v/>
      </c>
      <c r="F1949" s="2" t="str">
        <f t="shared" si="90"/>
        <v/>
      </c>
      <c r="G1949" s="2" t="str">
        <f t="shared" si="91"/>
        <v/>
      </c>
      <c r="H1949" s="2" t="str">
        <f>IF(A1949="","",MIN('Loan Inputs'!$B$18,MAX(0,C1949+E1949-'Loan Inputs'!$B$17)))</f>
        <v/>
      </c>
    </row>
    <row r="1950" spans="1:8" ht="22" customHeight="1">
      <c r="A1950" s="1" t="str">
        <f>IF(AND('Loan Inputs'!$B$12,1944&lt;=IF('Loan Inputs'!$B$12,'Loan Inputs'!$B$7,0)*'Loan Inputs'!$B$14+5*'Loan Inputs'!$B$14,ISNUMBER(G1949),G1949&gt;0),1944,"")</f>
        <v/>
      </c>
      <c r="B1950" s="4" t="str">
        <f>IF(A1950="","",IF('Loan Inputs'!$B$14=12,DATE(YEAR('Loan Inputs'!$B$8),MONTH('Loan Inputs'!$B$8)+A1950,DAY('Loan Inputs'!$B$8)),'Loan Inputs'!$B$8+A1950*IF('Loan Inputs'!$B$14=26,14,7)))</f>
        <v/>
      </c>
      <c r="C1950" s="2" t="str">
        <f t="shared" si="92"/>
        <v/>
      </c>
      <c r="D1950" s="2" t="str">
        <f>IF(A1950="","",MIN('Loan Inputs'!$B$17,C1950+E1950)+H1950)</f>
        <v/>
      </c>
      <c r="E1950" s="2" t="str">
        <f>IF(A1950="","",C1950*'Loan Inputs'!$B$15)</f>
        <v/>
      </c>
      <c r="F1950" s="2" t="str">
        <f t="shared" si="90"/>
        <v/>
      </c>
      <c r="G1950" s="2" t="str">
        <f t="shared" si="91"/>
        <v/>
      </c>
      <c r="H1950" s="2" t="str">
        <f>IF(A1950="","",MIN('Loan Inputs'!$B$18,MAX(0,C1950+E1950-'Loan Inputs'!$B$17)))</f>
        <v/>
      </c>
    </row>
    <row r="1951" spans="1:8" ht="22" customHeight="1">
      <c r="A1951" s="1" t="str">
        <f>IF(AND('Loan Inputs'!$B$12,1945&lt;=IF('Loan Inputs'!$B$12,'Loan Inputs'!$B$7,0)*'Loan Inputs'!$B$14+5*'Loan Inputs'!$B$14,ISNUMBER(G1950),G1950&gt;0),1945,"")</f>
        <v/>
      </c>
      <c r="B1951" s="4" t="str">
        <f>IF(A1951="","",IF('Loan Inputs'!$B$14=12,DATE(YEAR('Loan Inputs'!$B$8),MONTH('Loan Inputs'!$B$8)+A1951,DAY('Loan Inputs'!$B$8)),'Loan Inputs'!$B$8+A1951*IF('Loan Inputs'!$B$14=26,14,7)))</f>
        <v/>
      </c>
      <c r="C1951" s="2" t="str">
        <f t="shared" si="92"/>
        <v/>
      </c>
      <c r="D1951" s="2" t="str">
        <f>IF(A1951="","",MIN('Loan Inputs'!$B$17,C1951+E1951)+H1951)</f>
        <v/>
      </c>
      <c r="E1951" s="2" t="str">
        <f>IF(A1951="","",C1951*'Loan Inputs'!$B$15)</f>
        <v/>
      </c>
      <c r="F1951" s="2" t="str">
        <f t="shared" si="90"/>
        <v/>
      </c>
      <c r="G1951" s="2" t="str">
        <f t="shared" si="91"/>
        <v/>
      </c>
      <c r="H1951" s="2" t="str">
        <f>IF(A1951="","",MIN('Loan Inputs'!$B$18,MAX(0,C1951+E1951-'Loan Inputs'!$B$17)))</f>
        <v/>
      </c>
    </row>
    <row r="1952" spans="1:8" ht="22" customHeight="1">
      <c r="A1952" s="1" t="str">
        <f>IF(AND('Loan Inputs'!$B$12,1946&lt;=IF('Loan Inputs'!$B$12,'Loan Inputs'!$B$7,0)*'Loan Inputs'!$B$14+5*'Loan Inputs'!$B$14,ISNUMBER(G1951),G1951&gt;0),1946,"")</f>
        <v/>
      </c>
      <c r="B1952" s="4" t="str">
        <f>IF(A1952="","",IF('Loan Inputs'!$B$14=12,DATE(YEAR('Loan Inputs'!$B$8),MONTH('Loan Inputs'!$B$8)+A1952,DAY('Loan Inputs'!$B$8)),'Loan Inputs'!$B$8+A1952*IF('Loan Inputs'!$B$14=26,14,7)))</f>
        <v/>
      </c>
      <c r="C1952" s="2" t="str">
        <f t="shared" si="92"/>
        <v/>
      </c>
      <c r="D1952" s="2" t="str">
        <f>IF(A1952="","",MIN('Loan Inputs'!$B$17,C1952+E1952)+H1952)</f>
        <v/>
      </c>
      <c r="E1952" s="2" t="str">
        <f>IF(A1952="","",C1952*'Loan Inputs'!$B$15)</f>
        <v/>
      </c>
      <c r="F1952" s="2" t="str">
        <f t="shared" si="90"/>
        <v/>
      </c>
      <c r="G1952" s="2" t="str">
        <f t="shared" si="91"/>
        <v/>
      </c>
      <c r="H1952" s="2" t="str">
        <f>IF(A1952="","",MIN('Loan Inputs'!$B$18,MAX(0,C1952+E1952-'Loan Inputs'!$B$17)))</f>
        <v/>
      </c>
    </row>
    <row r="1953" spans="1:8" ht="22" customHeight="1">
      <c r="A1953" s="1" t="str">
        <f>IF(AND('Loan Inputs'!$B$12,1947&lt;=IF('Loan Inputs'!$B$12,'Loan Inputs'!$B$7,0)*'Loan Inputs'!$B$14+5*'Loan Inputs'!$B$14,ISNUMBER(G1952),G1952&gt;0),1947,"")</f>
        <v/>
      </c>
      <c r="B1953" s="4" t="str">
        <f>IF(A1953="","",IF('Loan Inputs'!$B$14=12,DATE(YEAR('Loan Inputs'!$B$8),MONTH('Loan Inputs'!$B$8)+A1953,DAY('Loan Inputs'!$B$8)),'Loan Inputs'!$B$8+A1953*IF('Loan Inputs'!$B$14=26,14,7)))</f>
        <v/>
      </c>
      <c r="C1953" s="2" t="str">
        <f t="shared" si="92"/>
        <v/>
      </c>
      <c r="D1953" s="2" t="str">
        <f>IF(A1953="","",MIN('Loan Inputs'!$B$17,C1953+E1953)+H1953)</f>
        <v/>
      </c>
      <c r="E1953" s="2" t="str">
        <f>IF(A1953="","",C1953*'Loan Inputs'!$B$15)</f>
        <v/>
      </c>
      <c r="F1953" s="2" t="str">
        <f t="shared" si="90"/>
        <v/>
      </c>
      <c r="G1953" s="2" t="str">
        <f t="shared" si="91"/>
        <v/>
      </c>
      <c r="H1953" s="2" t="str">
        <f>IF(A1953="","",MIN('Loan Inputs'!$B$18,MAX(0,C1953+E1953-'Loan Inputs'!$B$17)))</f>
        <v/>
      </c>
    </row>
    <row r="1954" spans="1:8" ht="22" customHeight="1">
      <c r="A1954" s="1" t="str">
        <f>IF(AND('Loan Inputs'!$B$12,1948&lt;=IF('Loan Inputs'!$B$12,'Loan Inputs'!$B$7,0)*'Loan Inputs'!$B$14+5*'Loan Inputs'!$B$14,ISNUMBER(G1953),G1953&gt;0),1948,"")</f>
        <v/>
      </c>
      <c r="B1954" s="4" t="str">
        <f>IF(A1954="","",IF('Loan Inputs'!$B$14=12,DATE(YEAR('Loan Inputs'!$B$8),MONTH('Loan Inputs'!$B$8)+A1954,DAY('Loan Inputs'!$B$8)),'Loan Inputs'!$B$8+A1954*IF('Loan Inputs'!$B$14=26,14,7)))</f>
        <v/>
      </c>
      <c r="C1954" s="2" t="str">
        <f t="shared" si="92"/>
        <v/>
      </c>
      <c r="D1954" s="2" t="str">
        <f>IF(A1954="","",MIN('Loan Inputs'!$B$17,C1954+E1954)+H1954)</f>
        <v/>
      </c>
      <c r="E1954" s="2" t="str">
        <f>IF(A1954="","",C1954*'Loan Inputs'!$B$15)</f>
        <v/>
      </c>
      <c r="F1954" s="2" t="str">
        <f t="shared" si="90"/>
        <v/>
      </c>
      <c r="G1954" s="2" t="str">
        <f t="shared" si="91"/>
        <v/>
      </c>
      <c r="H1954" s="2" t="str">
        <f>IF(A1954="","",MIN('Loan Inputs'!$B$18,MAX(0,C1954+E1954-'Loan Inputs'!$B$17)))</f>
        <v/>
      </c>
    </row>
    <row r="1955" spans="1:8" ht="22" customHeight="1">
      <c r="A1955" s="1" t="str">
        <f>IF(AND('Loan Inputs'!$B$12,1949&lt;=IF('Loan Inputs'!$B$12,'Loan Inputs'!$B$7,0)*'Loan Inputs'!$B$14+5*'Loan Inputs'!$B$14,ISNUMBER(G1954),G1954&gt;0),1949,"")</f>
        <v/>
      </c>
      <c r="B1955" s="4" t="str">
        <f>IF(A1955="","",IF('Loan Inputs'!$B$14=12,DATE(YEAR('Loan Inputs'!$B$8),MONTH('Loan Inputs'!$B$8)+A1955,DAY('Loan Inputs'!$B$8)),'Loan Inputs'!$B$8+A1955*IF('Loan Inputs'!$B$14=26,14,7)))</f>
        <v/>
      </c>
      <c r="C1955" s="2" t="str">
        <f t="shared" si="92"/>
        <v/>
      </c>
      <c r="D1955" s="2" t="str">
        <f>IF(A1955="","",MIN('Loan Inputs'!$B$17,C1955+E1955)+H1955)</f>
        <v/>
      </c>
      <c r="E1955" s="2" t="str">
        <f>IF(A1955="","",C1955*'Loan Inputs'!$B$15)</f>
        <v/>
      </c>
      <c r="F1955" s="2" t="str">
        <f t="shared" si="90"/>
        <v/>
      </c>
      <c r="G1955" s="2" t="str">
        <f t="shared" si="91"/>
        <v/>
      </c>
      <c r="H1955" s="2" t="str">
        <f>IF(A1955="","",MIN('Loan Inputs'!$B$18,MAX(0,C1955+E1955-'Loan Inputs'!$B$17)))</f>
        <v/>
      </c>
    </row>
    <row r="1956" spans="1:8" ht="22" customHeight="1">
      <c r="A1956" s="1" t="str">
        <f>IF(AND('Loan Inputs'!$B$12,1950&lt;=IF('Loan Inputs'!$B$12,'Loan Inputs'!$B$7,0)*'Loan Inputs'!$B$14+5*'Loan Inputs'!$B$14,ISNUMBER(G1955),G1955&gt;0),1950,"")</f>
        <v/>
      </c>
      <c r="B1956" s="4" t="str">
        <f>IF(A1956="","",IF('Loan Inputs'!$B$14=12,DATE(YEAR('Loan Inputs'!$B$8),MONTH('Loan Inputs'!$B$8)+A1956,DAY('Loan Inputs'!$B$8)),'Loan Inputs'!$B$8+A1956*IF('Loan Inputs'!$B$14=26,14,7)))</f>
        <v/>
      </c>
      <c r="C1956" s="2" t="str">
        <f t="shared" si="92"/>
        <v/>
      </c>
      <c r="D1956" s="2" t="str">
        <f>IF(A1956="","",MIN('Loan Inputs'!$B$17,C1956+E1956)+H1956)</f>
        <v/>
      </c>
      <c r="E1956" s="2" t="str">
        <f>IF(A1956="","",C1956*'Loan Inputs'!$B$15)</f>
        <v/>
      </c>
      <c r="F1956" s="2" t="str">
        <f t="shared" si="90"/>
        <v/>
      </c>
      <c r="G1956" s="2" t="str">
        <f t="shared" si="91"/>
        <v/>
      </c>
      <c r="H1956" s="2" t="str">
        <f>IF(A1956="","",MIN('Loan Inputs'!$B$18,MAX(0,C1956+E1956-'Loan Inputs'!$B$17)))</f>
        <v/>
      </c>
    </row>
    <row r="1957" spans="1:8" ht="22" customHeight="1">
      <c r="A1957" s="1" t="str">
        <f>IF(AND('Loan Inputs'!$B$12,1951&lt;=IF('Loan Inputs'!$B$12,'Loan Inputs'!$B$7,0)*'Loan Inputs'!$B$14+5*'Loan Inputs'!$B$14,ISNUMBER(G1956),G1956&gt;0),1951,"")</f>
        <v/>
      </c>
      <c r="B1957" s="4" t="str">
        <f>IF(A1957="","",IF('Loan Inputs'!$B$14=12,DATE(YEAR('Loan Inputs'!$B$8),MONTH('Loan Inputs'!$B$8)+A1957,DAY('Loan Inputs'!$B$8)),'Loan Inputs'!$B$8+A1957*IF('Loan Inputs'!$B$14=26,14,7)))</f>
        <v/>
      </c>
      <c r="C1957" s="2" t="str">
        <f t="shared" si="92"/>
        <v/>
      </c>
      <c r="D1957" s="2" t="str">
        <f>IF(A1957="","",MIN('Loan Inputs'!$B$17,C1957+E1957)+H1957)</f>
        <v/>
      </c>
      <c r="E1957" s="2" t="str">
        <f>IF(A1957="","",C1957*'Loan Inputs'!$B$15)</f>
        <v/>
      </c>
      <c r="F1957" s="2" t="str">
        <f t="shared" si="90"/>
        <v/>
      </c>
      <c r="G1957" s="2" t="str">
        <f t="shared" si="91"/>
        <v/>
      </c>
      <c r="H1957" s="2" t="str">
        <f>IF(A1957="","",MIN('Loan Inputs'!$B$18,MAX(0,C1957+E1957-'Loan Inputs'!$B$17)))</f>
        <v/>
      </c>
    </row>
    <row r="1958" spans="1:8" ht="22" customHeight="1">
      <c r="A1958" s="1" t="str">
        <f>IF(AND('Loan Inputs'!$B$12,1952&lt;=IF('Loan Inputs'!$B$12,'Loan Inputs'!$B$7,0)*'Loan Inputs'!$B$14+5*'Loan Inputs'!$B$14,ISNUMBER(G1957),G1957&gt;0),1952,"")</f>
        <v/>
      </c>
      <c r="B1958" s="4" t="str">
        <f>IF(A1958="","",IF('Loan Inputs'!$B$14=12,DATE(YEAR('Loan Inputs'!$B$8),MONTH('Loan Inputs'!$B$8)+A1958,DAY('Loan Inputs'!$B$8)),'Loan Inputs'!$B$8+A1958*IF('Loan Inputs'!$B$14=26,14,7)))</f>
        <v/>
      </c>
      <c r="C1958" s="2" t="str">
        <f t="shared" si="92"/>
        <v/>
      </c>
      <c r="D1958" s="2" t="str">
        <f>IF(A1958="","",MIN('Loan Inputs'!$B$17,C1958+E1958)+H1958)</f>
        <v/>
      </c>
      <c r="E1958" s="2" t="str">
        <f>IF(A1958="","",C1958*'Loan Inputs'!$B$15)</f>
        <v/>
      </c>
      <c r="F1958" s="2" t="str">
        <f t="shared" si="90"/>
        <v/>
      </c>
      <c r="G1958" s="2" t="str">
        <f t="shared" si="91"/>
        <v/>
      </c>
      <c r="H1958" s="2" t="str">
        <f>IF(A1958="","",MIN('Loan Inputs'!$B$18,MAX(0,C1958+E1958-'Loan Inputs'!$B$17)))</f>
        <v/>
      </c>
    </row>
    <row r="1959" spans="1:8" ht="22" customHeight="1">
      <c r="A1959" s="1" t="str">
        <f>IF(AND('Loan Inputs'!$B$12,1953&lt;=IF('Loan Inputs'!$B$12,'Loan Inputs'!$B$7,0)*'Loan Inputs'!$B$14+5*'Loan Inputs'!$B$14,ISNUMBER(G1958),G1958&gt;0),1953,"")</f>
        <v/>
      </c>
      <c r="B1959" s="4" t="str">
        <f>IF(A1959="","",IF('Loan Inputs'!$B$14=12,DATE(YEAR('Loan Inputs'!$B$8),MONTH('Loan Inputs'!$B$8)+A1959,DAY('Loan Inputs'!$B$8)),'Loan Inputs'!$B$8+A1959*IF('Loan Inputs'!$B$14=26,14,7)))</f>
        <v/>
      </c>
      <c r="C1959" s="2" t="str">
        <f t="shared" si="92"/>
        <v/>
      </c>
      <c r="D1959" s="2" t="str">
        <f>IF(A1959="","",MIN('Loan Inputs'!$B$17,C1959+E1959)+H1959)</f>
        <v/>
      </c>
      <c r="E1959" s="2" t="str">
        <f>IF(A1959="","",C1959*'Loan Inputs'!$B$15)</f>
        <v/>
      </c>
      <c r="F1959" s="2" t="str">
        <f t="shared" si="90"/>
        <v/>
      </c>
      <c r="G1959" s="2" t="str">
        <f t="shared" si="91"/>
        <v/>
      </c>
      <c r="H1959" s="2" t="str">
        <f>IF(A1959="","",MIN('Loan Inputs'!$B$18,MAX(0,C1959+E1959-'Loan Inputs'!$B$17)))</f>
        <v/>
      </c>
    </row>
    <row r="1960" spans="1:8" ht="22" customHeight="1">
      <c r="A1960" s="1" t="str">
        <f>IF(AND('Loan Inputs'!$B$12,1954&lt;=IF('Loan Inputs'!$B$12,'Loan Inputs'!$B$7,0)*'Loan Inputs'!$B$14+5*'Loan Inputs'!$B$14,ISNUMBER(G1959),G1959&gt;0),1954,"")</f>
        <v/>
      </c>
      <c r="B1960" s="4" t="str">
        <f>IF(A1960="","",IF('Loan Inputs'!$B$14=12,DATE(YEAR('Loan Inputs'!$B$8),MONTH('Loan Inputs'!$B$8)+A1960,DAY('Loan Inputs'!$B$8)),'Loan Inputs'!$B$8+A1960*IF('Loan Inputs'!$B$14=26,14,7)))</f>
        <v/>
      </c>
      <c r="C1960" s="2" t="str">
        <f t="shared" si="92"/>
        <v/>
      </c>
      <c r="D1960" s="2" t="str">
        <f>IF(A1960="","",MIN('Loan Inputs'!$B$17,C1960+E1960)+H1960)</f>
        <v/>
      </c>
      <c r="E1960" s="2" t="str">
        <f>IF(A1960="","",C1960*'Loan Inputs'!$B$15)</f>
        <v/>
      </c>
      <c r="F1960" s="2" t="str">
        <f t="shared" si="90"/>
        <v/>
      </c>
      <c r="G1960" s="2" t="str">
        <f t="shared" si="91"/>
        <v/>
      </c>
      <c r="H1960" s="2" t="str">
        <f>IF(A1960="","",MIN('Loan Inputs'!$B$18,MAX(0,C1960+E1960-'Loan Inputs'!$B$17)))</f>
        <v/>
      </c>
    </row>
    <row r="1961" spans="1:8" ht="22" customHeight="1">
      <c r="A1961" s="1" t="str">
        <f>IF(AND('Loan Inputs'!$B$12,1955&lt;=IF('Loan Inputs'!$B$12,'Loan Inputs'!$B$7,0)*'Loan Inputs'!$B$14+5*'Loan Inputs'!$B$14,ISNUMBER(G1960),G1960&gt;0),1955,"")</f>
        <v/>
      </c>
      <c r="B1961" s="4" t="str">
        <f>IF(A1961="","",IF('Loan Inputs'!$B$14=12,DATE(YEAR('Loan Inputs'!$B$8),MONTH('Loan Inputs'!$B$8)+A1961,DAY('Loan Inputs'!$B$8)),'Loan Inputs'!$B$8+A1961*IF('Loan Inputs'!$B$14=26,14,7)))</f>
        <v/>
      </c>
      <c r="C1961" s="2" t="str">
        <f t="shared" si="92"/>
        <v/>
      </c>
      <c r="D1961" s="2" t="str">
        <f>IF(A1961="","",MIN('Loan Inputs'!$B$17,C1961+E1961)+H1961)</f>
        <v/>
      </c>
      <c r="E1961" s="2" t="str">
        <f>IF(A1961="","",C1961*'Loan Inputs'!$B$15)</f>
        <v/>
      </c>
      <c r="F1961" s="2" t="str">
        <f t="shared" si="90"/>
        <v/>
      </c>
      <c r="G1961" s="2" t="str">
        <f t="shared" si="91"/>
        <v/>
      </c>
      <c r="H1961" s="2" t="str">
        <f>IF(A1961="","",MIN('Loan Inputs'!$B$18,MAX(0,C1961+E1961-'Loan Inputs'!$B$17)))</f>
        <v/>
      </c>
    </row>
    <row r="1962" spans="1:8" ht="22" customHeight="1">
      <c r="A1962" s="1" t="str">
        <f>IF(AND('Loan Inputs'!$B$12,1956&lt;=IF('Loan Inputs'!$B$12,'Loan Inputs'!$B$7,0)*'Loan Inputs'!$B$14+5*'Loan Inputs'!$B$14,ISNUMBER(G1961),G1961&gt;0),1956,"")</f>
        <v/>
      </c>
      <c r="B1962" s="4" t="str">
        <f>IF(A1962="","",IF('Loan Inputs'!$B$14=12,DATE(YEAR('Loan Inputs'!$B$8),MONTH('Loan Inputs'!$B$8)+A1962,DAY('Loan Inputs'!$B$8)),'Loan Inputs'!$B$8+A1962*IF('Loan Inputs'!$B$14=26,14,7)))</f>
        <v/>
      </c>
      <c r="C1962" s="2" t="str">
        <f t="shared" si="92"/>
        <v/>
      </c>
      <c r="D1962" s="2" t="str">
        <f>IF(A1962="","",MIN('Loan Inputs'!$B$17,C1962+E1962)+H1962)</f>
        <v/>
      </c>
      <c r="E1962" s="2" t="str">
        <f>IF(A1962="","",C1962*'Loan Inputs'!$B$15)</f>
        <v/>
      </c>
      <c r="F1962" s="2" t="str">
        <f t="shared" si="90"/>
        <v/>
      </c>
      <c r="G1962" s="2" t="str">
        <f t="shared" si="91"/>
        <v/>
      </c>
      <c r="H1962" s="2" t="str">
        <f>IF(A1962="","",MIN('Loan Inputs'!$B$18,MAX(0,C1962+E1962-'Loan Inputs'!$B$17)))</f>
        <v/>
      </c>
    </row>
    <row r="1963" spans="1:8" ht="22" customHeight="1">
      <c r="A1963" s="1" t="str">
        <f>IF(AND('Loan Inputs'!$B$12,1957&lt;=IF('Loan Inputs'!$B$12,'Loan Inputs'!$B$7,0)*'Loan Inputs'!$B$14+5*'Loan Inputs'!$B$14,ISNUMBER(G1962),G1962&gt;0),1957,"")</f>
        <v/>
      </c>
      <c r="B1963" s="4" t="str">
        <f>IF(A1963="","",IF('Loan Inputs'!$B$14=12,DATE(YEAR('Loan Inputs'!$B$8),MONTH('Loan Inputs'!$B$8)+A1963,DAY('Loan Inputs'!$B$8)),'Loan Inputs'!$B$8+A1963*IF('Loan Inputs'!$B$14=26,14,7)))</f>
        <v/>
      </c>
      <c r="C1963" s="2" t="str">
        <f t="shared" si="92"/>
        <v/>
      </c>
      <c r="D1963" s="2" t="str">
        <f>IF(A1963="","",MIN('Loan Inputs'!$B$17,C1963+E1963)+H1963)</f>
        <v/>
      </c>
      <c r="E1963" s="2" t="str">
        <f>IF(A1963="","",C1963*'Loan Inputs'!$B$15)</f>
        <v/>
      </c>
      <c r="F1963" s="2" t="str">
        <f t="shared" si="90"/>
        <v/>
      </c>
      <c r="G1963" s="2" t="str">
        <f t="shared" si="91"/>
        <v/>
      </c>
      <c r="H1963" s="2" t="str">
        <f>IF(A1963="","",MIN('Loan Inputs'!$B$18,MAX(0,C1963+E1963-'Loan Inputs'!$B$17)))</f>
        <v/>
      </c>
    </row>
    <row r="1964" spans="1:8" ht="22" customHeight="1">
      <c r="A1964" s="1" t="str">
        <f>IF(AND('Loan Inputs'!$B$12,1958&lt;=IF('Loan Inputs'!$B$12,'Loan Inputs'!$B$7,0)*'Loan Inputs'!$B$14+5*'Loan Inputs'!$B$14,ISNUMBER(G1963),G1963&gt;0),1958,"")</f>
        <v/>
      </c>
      <c r="B1964" s="4" t="str">
        <f>IF(A1964="","",IF('Loan Inputs'!$B$14=12,DATE(YEAR('Loan Inputs'!$B$8),MONTH('Loan Inputs'!$B$8)+A1964,DAY('Loan Inputs'!$B$8)),'Loan Inputs'!$B$8+A1964*IF('Loan Inputs'!$B$14=26,14,7)))</f>
        <v/>
      </c>
      <c r="C1964" s="2" t="str">
        <f t="shared" si="92"/>
        <v/>
      </c>
      <c r="D1964" s="2" t="str">
        <f>IF(A1964="","",MIN('Loan Inputs'!$B$17,C1964+E1964)+H1964)</f>
        <v/>
      </c>
      <c r="E1964" s="2" t="str">
        <f>IF(A1964="","",C1964*'Loan Inputs'!$B$15)</f>
        <v/>
      </c>
      <c r="F1964" s="2" t="str">
        <f t="shared" si="90"/>
        <v/>
      </c>
      <c r="G1964" s="2" t="str">
        <f t="shared" si="91"/>
        <v/>
      </c>
      <c r="H1964" s="2" t="str">
        <f>IF(A1964="","",MIN('Loan Inputs'!$B$18,MAX(0,C1964+E1964-'Loan Inputs'!$B$17)))</f>
        <v/>
      </c>
    </row>
    <row r="1965" spans="1:8" ht="22" customHeight="1">
      <c r="A1965" s="1" t="str">
        <f>IF(AND('Loan Inputs'!$B$12,1959&lt;=IF('Loan Inputs'!$B$12,'Loan Inputs'!$B$7,0)*'Loan Inputs'!$B$14+5*'Loan Inputs'!$B$14,ISNUMBER(G1964),G1964&gt;0),1959,"")</f>
        <v/>
      </c>
      <c r="B1965" s="4" t="str">
        <f>IF(A1965="","",IF('Loan Inputs'!$B$14=12,DATE(YEAR('Loan Inputs'!$B$8),MONTH('Loan Inputs'!$B$8)+A1965,DAY('Loan Inputs'!$B$8)),'Loan Inputs'!$B$8+A1965*IF('Loan Inputs'!$B$14=26,14,7)))</f>
        <v/>
      </c>
      <c r="C1965" s="2" t="str">
        <f t="shared" si="92"/>
        <v/>
      </c>
      <c r="D1965" s="2" t="str">
        <f>IF(A1965="","",MIN('Loan Inputs'!$B$17,C1965+E1965)+H1965)</f>
        <v/>
      </c>
      <c r="E1965" s="2" t="str">
        <f>IF(A1965="","",C1965*'Loan Inputs'!$B$15)</f>
        <v/>
      </c>
      <c r="F1965" s="2" t="str">
        <f t="shared" si="90"/>
        <v/>
      </c>
      <c r="G1965" s="2" t="str">
        <f t="shared" si="91"/>
        <v/>
      </c>
      <c r="H1965" s="2" t="str">
        <f>IF(A1965="","",MIN('Loan Inputs'!$B$18,MAX(0,C1965+E1965-'Loan Inputs'!$B$17)))</f>
        <v/>
      </c>
    </row>
    <row r="1966" spans="1:8" ht="22" customHeight="1">
      <c r="A1966" s="1" t="str">
        <f>IF(AND('Loan Inputs'!$B$12,1960&lt;=IF('Loan Inputs'!$B$12,'Loan Inputs'!$B$7,0)*'Loan Inputs'!$B$14+5*'Loan Inputs'!$B$14,ISNUMBER(G1965),G1965&gt;0),1960,"")</f>
        <v/>
      </c>
      <c r="B1966" s="4" t="str">
        <f>IF(A1966="","",IF('Loan Inputs'!$B$14=12,DATE(YEAR('Loan Inputs'!$B$8),MONTH('Loan Inputs'!$B$8)+A1966,DAY('Loan Inputs'!$B$8)),'Loan Inputs'!$B$8+A1966*IF('Loan Inputs'!$B$14=26,14,7)))</f>
        <v/>
      </c>
      <c r="C1966" s="2" t="str">
        <f t="shared" si="92"/>
        <v/>
      </c>
      <c r="D1966" s="2" t="str">
        <f>IF(A1966="","",MIN('Loan Inputs'!$B$17,C1966+E1966)+H1966)</f>
        <v/>
      </c>
      <c r="E1966" s="2" t="str">
        <f>IF(A1966="","",C1966*'Loan Inputs'!$B$15)</f>
        <v/>
      </c>
      <c r="F1966" s="2" t="str">
        <f t="shared" si="90"/>
        <v/>
      </c>
      <c r="G1966" s="2" t="str">
        <f t="shared" si="91"/>
        <v/>
      </c>
      <c r="H1966" s="2" t="str">
        <f>IF(A1966="","",MIN('Loan Inputs'!$B$18,MAX(0,C1966+E1966-'Loan Inputs'!$B$17)))</f>
        <v/>
      </c>
    </row>
    <row r="1967" spans="1:8" ht="22" customHeight="1">
      <c r="A1967" s="1" t="str">
        <f>IF(AND('Loan Inputs'!$B$12,1961&lt;=IF('Loan Inputs'!$B$12,'Loan Inputs'!$B$7,0)*'Loan Inputs'!$B$14+5*'Loan Inputs'!$B$14,ISNUMBER(G1966),G1966&gt;0),1961,"")</f>
        <v/>
      </c>
      <c r="B1967" s="4" t="str">
        <f>IF(A1967="","",IF('Loan Inputs'!$B$14=12,DATE(YEAR('Loan Inputs'!$B$8),MONTH('Loan Inputs'!$B$8)+A1967,DAY('Loan Inputs'!$B$8)),'Loan Inputs'!$B$8+A1967*IF('Loan Inputs'!$B$14=26,14,7)))</f>
        <v/>
      </c>
      <c r="C1967" s="2" t="str">
        <f t="shared" si="92"/>
        <v/>
      </c>
      <c r="D1967" s="2" t="str">
        <f>IF(A1967="","",MIN('Loan Inputs'!$B$17,C1967+E1967)+H1967)</f>
        <v/>
      </c>
      <c r="E1967" s="2" t="str">
        <f>IF(A1967="","",C1967*'Loan Inputs'!$B$15)</f>
        <v/>
      </c>
      <c r="F1967" s="2" t="str">
        <f t="shared" si="90"/>
        <v/>
      </c>
      <c r="G1967" s="2" t="str">
        <f t="shared" si="91"/>
        <v/>
      </c>
      <c r="H1967" s="2" t="str">
        <f>IF(A1967="","",MIN('Loan Inputs'!$B$18,MAX(0,C1967+E1967-'Loan Inputs'!$B$17)))</f>
        <v/>
      </c>
    </row>
    <row r="1968" spans="1:8" ht="22" customHeight="1">
      <c r="A1968" s="1" t="str">
        <f>IF(AND('Loan Inputs'!$B$12,1962&lt;=IF('Loan Inputs'!$B$12,'Loan Inputs'!$B$7,0)*'Loan Inputs'!$B$14+5*'Loan Inputs'!$B$14,ISNUMBER(G1967),G1967&gt;0),1962,"")</f>
        <v/>
      </c>
      <c r="B1968" s="4" t="str">
        <f>IF(A1968="","",IF('Loan Inputs'!$B$14=12,DATE(YEAR('Loan Inputs'!$B$8),MONTH('Loan Inputs'!$B$8)+A1968,DAY('Loan Inputs'!$B$8)),'Loan Inputs'!$B$8+A1968*IF('Loan Inputs'!$B$14=26,14,7)))</f>
        <v/>
      </c>
      <c r="C1968" s="2" t="str">
        <f t="shared" si="92"/>
        <v/>
      </c>
      <c r="D1968" s="2" t="str">
        <f>IF(A1968="","",MIN('Loan Inputs'!$B$17,C1968+E1968)+H1968)</f>
        <v/>
      </c>
      <c r="E1968" s="2" t="str">
        <f>IF(A1968="","",C1968*'Loan Inputs'!$B$15)</f>
        <v/>
      </c>
      <c r="F1968" s="2" t="str">
        <f t="shared" si="90"/>
        <v/>
      </c>
      <c r="G1968" s="2" t="str">
        <f t="shared" si="91"/>
        <v/>
      </c>
      <c r="H1968" s="2" t="str">
        <f>IF(A1968="","",MIN('Loan Inputs'!$B$18,MAX(0,C1968+E1968-'Loan Inputs'!$B$17)))</f>
        <v/>
      </c>
    </row>
    <row r="1969" spans="1:8" ht="22" customHeight="1">
      <c r="A1969" s="1" t="str">
        <f>IF(AND('Loan Inputs'!$B$12,1963&lt;=IF('Loan Inputs'!$B$12,'Loan Inputs'!$B$7,0)*'Loan Inputs'!$B$14+5*'Loan Inputs'!$B$14,ISNUMBER(G1968),G1968&gt;0),1963,"")</f>
        <v/>
      </c>
      <c r="B1969" s="4" t="str">
        <f>IF(A1969="","",IF('Loan Inputs'!$B$14=12,DATE(YEAR('Loan Inputs'!$B$8),MONTH('Loan Inputs'!$B$8)+A1969,DAY('Loan Inputs'!$B$8)),'Loan Inputs'!$B$8+A1969*IF('Loan Inputs'!$B$14=26,14,7)))</f>
        <v/>
      </c>
      <c r="C1969" s="2" t="str">
        <f t="shared" si="92"/>
        <v/>
      </c>
      <c r="D1969" s="2" t="str">
        <f>IF(A1969="","",MIN('Loan Inputs'!$B$17,C1969+E1969)+H1969)</f>
        <v/>
      </c>
      <c r="E1969" s="2" t="str">
        <f>IF(A1969="","",C1969*'Loan Inputs'!$B$15)</f>
        <v/>
      </c>
      <c r="F1969" s="2" t="str">
        <f t="shared" si="90"/>
        <v/>
      </c>
      <c r="G1969" s="2" t="str">
        <f t="shared" si="91"/>
        <v/>
      </c>
      <c r="H1969" s="2" t="str">
        <f>IF(A1969="","",MIN('Loan Inputs'!$B$18,MAX(0,C1969+E1969-'Loan Inputs'!$B$17)))</f>
        <v/>
      </c>
    </row>
    <row r="1970" spans="1:8" ht="22" customHeight="1">
      <c r="A1970" s="1" t="str">
        <f>IF(AND('Loan Inputs'!$B$12,1964&lt;=IF('Loan Inputs'!$B$12,'Loan Inputs'!$B$7,0)*'Loan Inputs'!$B$14+5*'Loan Inputs'!$B$14,ISNUMBER(G1969),G1969&gt;0),1964,"")</f>
        <v/>
      </c>
      <c r="B1970" s="4" t="str">
        <f>IF(A1970="","",IF('Loan Inputs'!$B$14=12,DATE(YEAR('Loan Inputs'!$B$8),MONTH('Loan Inputs'!$B$8)+A1970,DAY('Loan Inputs'!$B$8)),'Loan Inputs'!$B$8+A1970*IF('Loan Inputs'!$B$14=26,14,7)))</f>
        <v/>
      </c>
      <c r="C1970" s="2" t="str">
        <f t="shared" si="92"/>
        <v/>
      </c>
      <c r="D1970" s="2" t="str">
        <f>IF(A1970="","",MIN('Loan Inputs'!$B$17,C1970+E1970)+H1970)</f>
        <v/>
      </c>
      <c r="E1970" s="2" t="str">
        <f>IF(A1970="","",C1970*'Loan Inputs'!$B$15)</f>
        <v/>
      </c>
      <c r="F1970" s="2" t="str">
        <f t="shared" si="90"/>
        <v/>
      </c>
      <c r="G1970" s="2" t="str">
        <f t="shared" si="91"/>
        <v/>
      </c>
      <c r="H1970" s="2" t="str">
        <f>IF(A1970="","",MIN('Loan Inputs'!$B$18,MAX(0,C1970+E1970-'Loan Inputs'!$B$17)))</f>
        <v/>
      </c>
    </row>
    <row r="1971" spans="1:8" ht="22" customHeight="1">
      <c r="A1971" s="1" t="str">
        <f>IF(AND('Loan Inputs'!$B$12,1965&lt;=IF('Loan Inputs'!$B$12,'Loan Inputs'!$B$7,0)*'Loan Inputs'!$B$14+5*'Loan Inputs'!$B$14,ISNUMBER(G1970),G1970&gt;0),1965,"")</f>
        <v/>
      </c>
      <c r="B1971" s="4" t="str">
        <f>IF(A1971="","",IF('Loan Inputs'!$B$14=12,DATE(YEAR('Loan Inputs'!$B$8),MONTH('Loan Inputs'!$B$8)+A1971,DAY('Loan Inputs'!$B$8)),'Loan Inputs'!$B$8+A1971*IF('Loan Inputs'!$B$14=26,14,7)))</f>
        <v/>
      </c>
      <c r="C1971" s="2" t="str">
        <f t="shared" si="92"/>
        <v/>
      </c>
      <c r="D1971" s="2" t="str">
        <f>IF(A1971="","",MIN('Loan Inputs'!$B$17,C1971+E1971)+H1971)</f>
        <v/>
      </c>
      <c r="E1971" s="2" t="str">
        <f>IF(A1971="","",C1971*'Loan Inputs'!$B$15)</f>
        <v/>
      </c>
      <c r="F1971" s="2" t="str">
        <f t="shared" si="90"/>
        <v/>
      </c>
      <c r="G1971" s="2" t="str">
        <f t="shared" si="91"/>
        <v/>
      </c>
      <c r="H1971" s="2" t="str">
        <f>IF(A1971="","",MIN('Loan Inputs'!$B$18,MAX(0,C1971+E1971-'Loan Inputs'!$B$17)))</f>
        <v/>
      </c>
    </row>
    <row r="1972" spans="1:8" ht="22" customHeight="1">
      <c r="A1972" s="1" t="str">
        <f>IF(AND('Loan Inputs'!$B$12,1966&lt;=IF('Loan Inputs'!$B$12,'Loan Inputs'!$B$7,0)*'Loan Inputs'!$B$14+5*'Loan Inputs'!$B$14,ISNUMBER(G1971),G1971&gt;0),1966,"")</f>
        <v/>
      </c>
      <c r="B1972" s="4" t="str">
        <f>IF(A1972="","",IF('Loan Inputs'!$B$14=12,DATE(YEAR('Loan Inputs'!$B$8),MONTH('Loan Inputs'!$B$8)+A1972,DAY('Loan Inputs'!$B$8)),'Loan Inputs'!$B$8+A1972*IF('Loan Inputs'!$B$14=26,14,7)))</f>
        <v/>
      </c>
      <c r="C1972" s="2" t="str">
        <f t="shared" si="92"/>
        <v/>
      </c>
      <c r="D1972" s="2" t="str">
        <f>IF(A1972="","",MIN('Loan Inputs'!$B$17,C1972+E1972)+H1972)</f>
        <v/>
      </c>
      <c r="E1972" s="2" t="str">
        <f>IF(A1972="","",C1972*'Loan Inputs'!$B$15)</f>
        <v/>
      </c>
      <c r="F1972" s="2" t="str">
        <f t="shared" si="90"/>
        <v/>
      </c>
      <c r="G1972" s="2" t="str">
        <f t="shared" si="91"/>
        <v/>
      </c>
      <c r="H1972" s="2" t="str">
        <f>IF(A1972="","",MIN('Loan Inputs'!$B$18,MAX(0,C1972+E1972-'Loan Inputs'!$B$17)))</f>
        <v/>
      </c>
    </row>
    <row r="1973" spans="1:8" ht="22" customHeight="1">
      <c r="A1973" s="1" t="str">
        <f>IF(AND('Loan Inputs'!$B$12,1967&lt;=IF('Loan Inputs'!$B$12,'Loan Inputs'!$B$7,0)*'Loan Inputs'!$B$14+5*'Loan Inputs'!$B$14,ISNUMBER(G1972),G1972&gt;0),1967,"")</f>
        <v/>
      </c>
      <c r="B1973" s="4" t="str">
        <f>IF(A1973="","",IF('Loan Inputs'!$B$14=12,DATE(YEAR('Loan Inputs'!$B$8),MONTH('Loan Inputs'!$B$8)+A1973,DAY('Loan Inputs'!$B$8)),'Loan Inputs'!$B$8+A1973*IF('Loan Inputs'!$B$14=26,14,7)))</f>
        <v/>
      </c>
      <c r="C1973" s="2" t="str">
        <f t="shared" si="92"/>
        <v/>
      </c>
      <c r="D1973" s="2" t="str">
        <f>IF(A1973="","",MIN('Loan Inputs'!$B$17,C1973+E1973)+H1973)</f>
        <v/>
      </c>
      <c r="E1973" s="2" t="str">
        <f>IF(A1973="","",C1973*'Loan Inputs'!$B$15)</f>
        <v/>
      </c>
      <c r="F1973" s="2" t="str">
        <f t="shared" si="90"/>
        <v/>
      </c>
      <c r="G1973" s="2" t="str">
        <f t="shared" si="91"/>
        <v/>
      </c>
      <c r="H1973" s="2" t="str">
        <f>IF(A1973="","",MIN('Loan Inputs'!$B$18,MAX(0,C1973+E1973-'Loan Inputs'!$B$17)))</f>
        <v/>
      </c>
    </row>
    <row r="1974" spans="1:8" ht="22" customHeight="1">
      <c r="A1974" s="1" t="str">
        <f>IF(AND('Loan Inputs'!$B$12,1968&lt;=IF('Loan Inputs'!$B$12,'Loan Inputs'!$B$7,0)*'Loan Inputs'!$B$14+5*'Loan Inputs'!$B$14,ISNUMBER(G1973),G1973&gt;0),1968,"")</f>
        <v/>
      </c>
      <c r="B1974" s="4" t="str">
        <f>IF(A1974="","",IF('Loan Inputs'!$B$14=12,DATE(YEAR('Loan Inputs'!$B$8),MONTH('Loan Inputs'!$B$8)+A1974,DAY('Loan Inputs'!$B$8)),'Loan Inputs'!$B$8+A1974*IF('Loan Inputs'!$B$14=26,14,7)))</f>
        <v/>
      </c>
      <c r="C1974" s="2" t="str">
        <f t="shared" si="92"/>
        <v/>
      </c>
      <c r="D1974" s="2" t="str">
        <f>IF(A1974="","",MIN('Loan Inputs'!$B$17,C1974+E1974)+H1974)</f>
        <v/>
      </c>
      <c r="E1974" s="2" t="str">
        <f>IF(A1974="","",C1974*'Loan Inputs'!$B$15)</f>
        <v/>
      </c>
      <c r="F1974" s="2" t="str">
        <f t="shared" si="90"/>
        <v/>
      </c>
      <c r="G1974" s="2" t="str">
        <f t="shared" si="91"/>
        <v/>
      </c>
      <c r="H1974" s="2" t="str">
        <f>IF(A1974="","",MIN('Loan Inputs'!$B$18,MAX(0,C1974+E1974-'Loan Inputs'!$B$17)))</f>
        <v/>
      </c>
    </row>
    <row r="1975" spans="1:8" ht="22" customHeight="1">
      <c r="A1975" s="1" t="str">
        <f>IF(AND('Loan Inputs'!$B$12,1969&lt;=IF('Loan Inputs'!$B$12,'Loan Inputs'!$B$7,0)*'Loan Inputs'!$B$14+5*'Loan Inputs'!$B$14,ISNUMBER(G1974),G1974&gt;0),1969,"")</f>
        <v/>
      </c>
      <c r="B1975" s="4" t="str">
        <f>IF(A1975="","",IF('Loan Inputs'!$B$14=12,DATE(YEAR('Loan Inputs'!$B$8),MONTH('Loan Inputs'!$B$8)+A1975,DAY('Loan Inputs'!$B$8)),'Loan Inputs'!$B$8+A1975*IF('Loan Inputs'!$B$14=26,14,7)))</f>
        <v/>
      </c>
      <c r="C1975" s="2" t="str">
        <f t="shared" si="92"/>
        <v/>
      </c>
      <c r="D1975" s="2" t="str">
        <f>IF(A1975="","",MIN('Loan Inputs'!$B$17,C1975+E1975)+H1975)</f>
        <v/>
      </c>
      <c r="E1975" s="2" t="str">
        <f>IF(A1975="","",C1975*'Loan Inputs'!$B$15)</f>
        <v/>
      </c>
      <c r="F1975" s="2" t="str">
        <f t="shared" si="90"/>
        <v/>
      </c>
      <c r="G1975" s="2" t="str">
        <f t="shared" si="91"/>
        <v/>
      </c>
      <c r="H1975" s="2" t="str">
        <f>IF(A1975="","",MIN('Loan Inputs'!$B$18,MAX(0,C1975+E1975-'Loan Inputs'!$B$17)))</f>
        <v/>
      </c>
    </row>
    <row r="1976" spans="1:8" ht="22" customHeight="1">
      <c r="A1976" s="1" t="str">
        <f>IF(AND('Loan Inputs'!$B$12,1970&lt;=IF('Loan Inputs'!$B$12,'Loan Inputs'!$B$7,0)*'Loan Inputs'!$B$14+5*'Loan Inputs'!$B$14,ISNUMBER(G1975),G1975&gt;0),1970,"")</f>
        <v/>
      </c>
      <c r="B1976" s="4" t="str">
        <f>IF(A1976="","",IF('Loan Inputs'!$B$14=12,DATE(YEAR('Loan Inputs'!$B$8),MONTH('Loan Inputs'!$B$8)+A1976,DAY('Loan Inputs'!$B$8)),'Loan Inputs'!$B$8+A1976*IF('Loan Inputs'!$B$14=26,14,7)))</f>
        <v/>
      </c>
      <c r="C1976" s="2" t="str">
        <f t="shared" si="92"/>
        <v/>
      </c>
      <c r="D1976" s="2" t="str">
        <f>IF(A1976="","",MIN('Loan Inputs'!$B$17,C1976+E1976)+H1976)</f>
        <v/>
      </c>
      <c r="E1976" s="2" t="str">
        <f>IF(A1976="","",C1976*'Loan Inputs'!$B$15)</f>
        <v/>
      </c>
      <c r="F1976" s="2" t="str">
        <f t="shared" si="90"/>
        <v/>
      </c>
      <c r="G1976" s="2" t="str">
        <f t="shared" si="91"/>
        <v/>
      </c>
      <c r="H1976" s="2" t="str">
        <f>IF(A1976="","",MIN('Loan Inputs'!$B$18,MAX(0,C1976+E1976-'Loan Inputs'!$B$17)))</f>
        <v/>
      </c>
    </row>
    <row r="1977" spans="1:8" ht="22" customHeight="1">
      <c r="A1977" s="1" t="str">
        <f>IF(AND('Loan Inputs'!$B$12,1971&lt;=IF('Loan Inputs'!$B$12,'Loan Inputs'!$B$7,0)*'Loan Inputs'!$B$14+5*'Loan Inputs'!$B$14,ISNUMBER(G1976),G1976&gt;0),1971,"")</f>
        <v/>
      </c>
      <c r="B1977" s="4" t="str">
        <f>IF(A1977="","",IF('Loan Inputs'!$B$14=12,DATE(YEAR('Loan Inputs'!$B$8),MONTH('Loan Inputs'!$B$8)+A1977,DAY('Loan Inputs'!$B$8)),'Loan Inputs'!$B$8+A1977*IF('Loan Inputs'!$B$14=26,14,7)))</f>
        <v/>
      </c>
      <c r="C1977" s="2" t="str">
        <f t="shared" si="92"/>
        <v/>
      </c>
      <c r="D1977" s="2" t="str">
        <f>IF(A1977="","",MIN('Loan Inputs'!$B$17,C1977+E1977)+H1977)</f>
        <v/>
      </c>
      <c r="E1977" s="2" t="str">
        <f>IF(A1977="","",C1977*'Loan Inputs'!$B$15)</f>
        <v/>
      </c>
      <c r="F1977" s="2" t="str">
        <f t="shared" si="90"/>
        <v/>
      </c>
      <c r="G1977" s="2" t="str">
        <f t="shared" si="91"/>
        <v/>
      </c>
      <c r="H1977" s="2" t="str">
        <f>IF(A1977="","",MIN('Loan Inputs'!$B$18,MAX(0,C1977+E1977-'Loan Inputs'!$B$17)))</f>
        <v/>
      </c>
    </row>
    <row r="1978" spans="1:8" ht="22" customHeight="1">
      <c r="A1978" s="1" t="str">
        <f>IF(AND('Loan Inputs'!$B$12,1972&lt;=IF('Loan Inputs'!$B$12,'Loan Inputs'!$B$7,0)*'Loan Inputs'!$B$14+5*'Loan Inputs'!$B$14,ISNUMBER(G1977),G1977&gt;0),1972,"")</f>
        <v/>
      </c>
      <c r="B1978" s="4" t="str">
        <f>IF(A1978="","",IF('Loan Inputs'!$B$14=12,DATE(YEAR('Loan Inputs'!$B$8),MONTH('Loan Inputs'!$B$8)+A1978,DAY('Loan Inputs'!$B$8)),'Loan Inputs'!$B$8+A1978*IF('Loan Inputs'!$B$14=26,14,7)))</f>
        <v/>
      </c>
      <c r="C1978" s="2" t="str">
        <f t="shared" si="92"/>
        <v/>
      </c>
      <c r="D1978" s="2" t="str">
        <f>IF(A1978="","",MIN('Loan Inputs'!$B$17,C1978+E1978)+H1978)</f>
        <v/>
      </c>
      <c r="E1978" s="2" t="str">
        <f>IF(A1978="","",C1978*'Loan Inputs'!$B$15)</f>
        <v/>
      </c>
      <c r="F1978" s="2" t="str">
        <f t="shared" si="90"/>
        <v/>
      </c>
      <c r="G1978" s="2" t="str">
        <f t="shared" si="91"/>
        <v/>
      </c>
      <c r="H1978" s="2" t="str">
        <f>IF(A1978="","",MIN('Loan Inputs'!$B$18,MAX(0,C1978+E1978-'Loan Inputs'!$B$17)))</f>
        <v/>
      </c>
    </row>
    <row r="1979" spans="1:8" ht="22" customHeight="1">
      <c r="A1979" s="1" t="str">
        <f>IF(AND('Loan Inputs'!$B$12,1973&lt;=IF('Loan Inputs'!$B$12,'Loan Inputs'!$B$7,0)*'Loan Inputs'!$B$14+5*'Loan Inputs'!$B$14,ISNUMBER(G1978),G1978&gt;0),1973,"")</f>
        <v/>
      </c>
      <c r="B1979" s="4" t="str">
        <f>IF(A1979="","",IF('Loan Inputs'!$B$14=12,DATE(YEAR('Loan Inputs'!$B$8),MONTH('Loan Inputs'!$B$8)+A1979,DAY('Loan Inputs'!$B$8)),'Loan Inputs'!$B$8+A1979*IF('Loan Inputs'!$B$14=26,14,7)))</f>
        <v/>
      </c>
      <c r="C1979" s="2" t="str">
        <f t="shared" si="92"/>
        <v/>
      </c>
      <c r="D1979" s="2" t="str">
        <f>IF(A1979="","",MIN('Loan Inputs'!$B$17,C1979+E1979)+H1979)</f>
        <v/>
      </c>
      <c r="E1979" s="2" t="str">
        <f>IF(A1979="","",C1979*'Loan Inputs'!$B$15)</f>
        <v/>
      </c>
      <c r="F1979" s="2" t="str">
        <f t="shared" si="90"/>
        <v/>
      </c>
      <c r="G1979" s="2" t="str">
        <f t="shared" si="91"/>
        <v/>
      </c>
      <c r="H1979" s="2" t="str">
        <f>IF(A1979="","",MIN('Loan Inputs'!$B$18,MAX(0,C1979+E1979-'Loan Inputs'!$B$17)))</f>
        <v/>
      </c>
    </row>
    <row r="1980" spans="1:8" ht="22" customHeight="1">
      <c r="A1980" s="1" t="str">
        <f>IF(AND('Loan Inputs'!$B$12,1974&lt;=IF('Loan Inputs'!$B$12,'Loan Inputs'!$B$7,0)*'Loan Inputs'!$B$14+5*'Loan Inputs'!$B$14,ISNUMBER(G1979),G1979&gt;0),1974,"")</f>
        <v/>
      </c>
      <c r="B1980" s="4" t="str">
        <f>IF(A1980="","",IF('Loan Inputs'!$B$14=12,DATE(YEAR('Loan Inputs'!$B$8),MONTH('Loan Inputs'!$B$8)+A1980,DAY('Loan Inputs'!$B$8)),'Loan Inputs'!$B$8+A1980*IF('Loan Inputs'!$B$14=26,14,7)))</f>
        <v/>
      </c>
      <c r="C1980" s="2" t="str">
        <f t="shared" si="92"/>
        <v/>
      </c>
      <c r="D1980" s="2" t="str">
        <f>IF(A1980="","",MIN('Loan Inputs'!$B$17,C1980+E1980)+H1980)</f>
        <v/>
      </c>
      <c r="E1980" s="2" t="str">
        <f>IF(A1980="","",C1980*'Loan Inputs'!$B$15)</f>
        <v/>
      </c>
      <c r="F1980" s="2" t="str">
        <f t="shared" si="90"/>
        <v/>
      </c>
      <c r="G1980" s="2" t="str">
        <f t="shared" si="91"/>
        <v/>
      </c>
      <c r="H1980" s="2" t="str">
        <f>IF(A1980="","",MIN('Loan Inputs'!$B$18,MAX(0,C1980+E1980-'Loan Inputs'!$B$17)))</f>
        <v/>
      </c>
    </row>
    <row r="1981" spans="1:8" ht="22" customHeight="1">
      <c r="A1981" s="1" t="str">
        <f>IF(AND('Loan Inputs'!$B$12,1975&lt;=IF('Loan Inputs'!$B$12,'Loan Inputs'!$B$7,0)*'Loan Inputs'!$B$14+5*'Loan Inputs'!$B$14,ISNUMBER(G1980),G1980&gt;0),1975,"")</f>
        <v/>
      </c>
      <c r="B1981" s="4" t="str">
        <f>IF(A1981="","",IF('Loan Inputs'!$B$14=12,DATE(YEAR('Loan Inputs'!$B$8),MONTH('Loan Inputs'!$B$8)+A1981,DAY('Loan Inputs'!$B$8)),'Loan Inputs'!$B$8+A1981*IF('Loan Inputs'!$B$14=26,14,7)))</f>
        <v/>
      </c>
      <c r="C1981" s="2" t="str">
        <f t="shared" si="92"/>
        <v/>
      </c>
      <c r="D1981" s="2" t="str">
        <f>IF(A1981="","",MIN('Loan Inputs'!$B$17,C1981+E1981)+H1981)</f>
        <v/>
      </c>
      <c r="E1981" s="2" t="str">
        <f>IF(A1981="","",C1981*'Loan Inputs'!$B$15)</f>
        <v/>
      </c>
      <c r="F1981" s="2" t="str">
        <f t="shared" si="90"/>
        <v/>
      </c>
      <c r="G1981" s="2" t="str">
        <f t="shared" si="91"/>
        <v/>
      </c>
      <c r="H1981" s="2" t="str">
        <f>IF(A1981="","",MIN('Loan Inputs'!$B$18,MAX(0,C1981+E1981-'Loan Inputs'!$B$17)))</f>
        <v/>
      </c>
    </row>
    <row r="1982" spans="1:8" ht="22" customHeight="1">
      <c r="A1982" s="1" t="str">
        <f>IF(AND('Loan Inputs'!$B$12,1976&lt;=IF('Loan Inputs'!$B$12,'Loan Inputs'!$B$7,0)*'Loan Inputs'!$B$14+5*'Loan Inputs'!$B$14,ISNUMBER(G1981),G1981&gt;0),1976,"")</f>
        <v/>
      </c>
      <c r="B1982" s="4" t="str">
        <f>IF(A1982="","",IF('Loan Inputs'!$B$14=12,DATE(YEAR('Loan Inputs'!$B$8),MONTH('Loan Inputs'!$B$8)+A1982,DAY('Loan Inputs'!$B$8)),'Loan Inputs'!$B$8+A1982*IF('Loan Inputs'!$B$14=26,14,7)))</f>
        <v/>
      </c>
      <c r="C1982" s="2" t="str">
        <f t="shared" si="92"/>
        <v/>
      </c>
      <c r="D1982" s="2" t="str">
        <f>IF(A1982="","",MIN('Loan Inputs'!$B$17,C1982+E1982)+H1982)</f>
        <v/>
      </c>
      <c r="E1982" s="2" t="str">
        <f>IF(A1982="","",C1982*'Loan Inputs'!$B$15)</f>
        <v/>
      </c>
      <c r="F1982" s="2" t="str">
        <f t="shared" si="90"/>
        <v/>
      </c>
      <c r="G1982" s="2" t="str">
        <f t="shared" si="91"/>
        <v/>
      </c>
      <c r="H1982" s="2" t="str">
        <f>IF(A1982="","",MIN('Loan Inputs'!$B$18,MAX(0,C1982+E1982-'Loan Inputs'!$B$17)))</f>
        <v/>
      </c>
    </row>
    <row r="1983" spans="1:8" ht="22" customHeight="1">
      <c r="A1983" s="1" t="str">
        <f>IF(AND('Loan Inputs'!$B$12,1977&lt;=IF('Loan Inputs'!$B$12,'Loan Inputs'!$B$7,0)*'Loan Inputs'!$B$14+5*'Loan Inputs'!$B$14,ISNUMBER(G1982),G1982&gt;0),1977,"")</f>
        <v/>
      </c>
      <c r="B1983" s="4" t="str">
        <f>IF(A1983="","",IF('Loan Inputs'!$B$14=12,DATE(YEAR('Loan Inputs'!$B$8),MONTH('Loan Inputs'!$B$8)+A1983,DAY('Loan Inputs'!$B$8)),'Loan Inputs'!$B$8+A1983*IF('Loan Inputs'!$B$14=26,14,7)))</f>
        <v/>
      </c>
      <c r="C1983" s="2" t="str">
        <f t="shared" si="92"/>
        <v/>
      </c>
      <c r="D1983" s="2" t="str">
        <f>IF(A1983="","",MIN('Loan Inputs'!$B$17,C1983+E1983)+H1983)</f>
        <v/>
      </c>
      <c r="E1983" s="2" t="str">
        <f>IF(A1983="","",C1983*'Loan Inputs'!$B$15)</f>
        <v/>
      </c>
      <c r="F1983" s="2" t="str">
        <f t="shared" si="90"/>
        <v/>
      </c>
      <c r="G1983" s="2" t="str">
        <f t="shared" si="91"/>
        <v/>
      </c>
      <c r="H1983" s="2" t="str">
        <f>IF(A1983="","",MIN('Loan Inputs'!$B$18,MAX(0,C1983+E1983-'Loan Inputs'!$B$17)))</f>
        <v/>
      </c>
    </row>
    <row r="1984" spans="1:8" ht="22" customHeight="1">
      <c r="A1984" s="1" t="str">
        <f>IF(AND('Loan Inputs'!$B$12,1978&lt;=IF('Loan Inputs'!$B$12,'Loan Inputs'!$B$7,0)*'Loan Inputs'!$B$14+5*'Loan Inputs'!$B$14,ISNUMBER(G1983),G1983&gt;0),1978,"")</f>
        <v/>
      </c>
      <c r="B1984" s="4" t="str">
        <f>IF(A1984="","",IF('Loan Inputs'!$B$14=12,DATE(YEAR('Loan Inputs'!$B$8),MONTH('Loan Inputs'!$B$8)+A1984,DAY('Loan Inputs'!$B$8)),'Loan Inputs'!$B$8+A1984*IF('Loan Inputs'!$B$14=26,14,7)))</f>
        <v/>
      </c>
      <c r="C1984" s="2" t="str">
        <f t="shared" si="92"/>
        <v/>
      </c>
      <c r="D1984" s="2" t="str">
        <f>IF(A1984="","",MIN('Loan Inputs'!$B$17,C1984+E1984)+H1984)</f>
        <v/>
      </c>
      <c r="E1984" s="2" t="str">
        <f>IF(A1984="","",C1984*'Loan Inputs'!$B$15)</f>
        <v/>
      </c>
      <c r="F1984" s="2" t="str">
        <f t="shared" si="90"/>
        <v/>
      </c>
      <c r="G1984" s="2" t="str">
        <f t="shared" si="91"/>
        <v/>
      </c>
      <c r="H1984" s="2" t="str">
        <f>IF(A1984="","",MIN('Loan Inputs'!$B$18,MAX(0,C1984+E1984-'Loan Inputs'!$B$17)))</f>
        <v/>
      </c>
    </row>
    <row r="1985" spans="1:8" ht="22" customHeight="1">
      <c r="A1985" s="1" t="str">
        <f>IF(AND('Loan Inputs'!$B$12,1979&lt;=IF('Loan Inputs'!$B$12,'Loan Inputs'!$B$7,0)*'Loan Inputs'!$B$14+5*'Loan Inputs'!$B$14,ISNUMBER(G1984),G1984&gt;0),1979,"")</f>
        <v/>
      </c>
      <c r="B1985" s="4" t="str">
        <f>IF(A1985="","",IF('Loan Inputs'!$B$14=12,DATE(YEAR('Loan Inputs'!$B$8),MONTH('Loan Inputs'!$B$8)+A1985,DAY('Loan Inputs'!$B$8)),'Loan Inputs'!$B$8+A1985*IF('Loan Inputs'!$B$14=26,14,7)))</f>
        <v/>
      </c>
      <c r="C1985" s="2" t="str">
        <f t="shared" si="92"/>
        <v/>
      </c>
      <c r="D1985" s="2" t="str">
        <f>IF(A1985="","",MIN('Loan Inputs'!$B$17,C1985+E1985)+H1985)</f>
        <v/>
      </c>
      <c r="E1985" s="2" t="str">
        <f>IF(A1985="","",C1985*'Loan Inputs'!$B$15)</f>
        <v/>
      </c>
      <c r="F1985" s="2" t="str">
        <f t="shared" si="90"/>
        <v/>
      </c>
      <c r="G1985" s="2" t="str">
        <f t="shared" si="91"/>
        <v/>
      </c>
      <c r="H1985" s="2" t="str">
        <f>IF(A1985="","",MIN('Loan Inputs'!$B$18,MAX(0,C1985+E1985-'Loan Inputs'!$B$17)))</f>
        <v/>
      </c>
    </row>
    <row r="1986" spans="1:8" ht="22" customHeight="1">
      <c r="A1986" s="1" t="str">
        <f>IF(AND('Loan Inputs'!$B$12,1980&lt;=IF('Loan Inputs'!$B$12,'Loan Inputs'!$B$7,0)*'Loan Inputs'!$B$14+5*'Loan Inputs'!$B$14,ISNUMBER(G1985),G1985&gt;0),1980,"")</f>
        <v/>
      </c>
      <c r="B1986" s="4" t="str">
        <f>IF(A1986="","",IF('Loan Inputs'!$B$14=12,DATE(YEAR('Loan Inputs'!$B$8),MONTH('Loan Inputs'!$B$8)+A1986,DAY('Loan Inputs'!$B$8)),'Loan Inputs'!$B$8+A1986*IF('Loan Inputs'!$B$14=26,14,7)))</f>
        <v/>
      </c>
      <c r="C1986" s="2" t="str">
        <f t="shared" si="92"/>
        <v/>
      </c>
      <c r="D1986" s="2" t="str">
        <f>IF(A1986="","",MIN('Loan Inputs'!$B$17,C1986+E1986)+H1986)</f>
        <v/>
      </c>
      <c r="E1986" s="2" t="str">
        <f>IF(A1986="","",C1986*'Loan Inputs'!$B$15)</f>
        <v/>
      </c>
      <c r="F1986" s="2" t="str">
        <f t="shared" si="90"/>
        <v/>
      </c>
      <c r="G1986" s="2" t="str">
        <f t="shared" si="91"/>
        <v/>
      </c>
      <c r="H1986" s="2" t="str">
        <f>IF(A1986="","",MIN('Loan Inputs'!$B$18,MAX(0,C1986+E1986-'Loan Inputs'!$B$17)))</f>
        <v/>
      </c>
    </row>
    <row r="1987" spans="1:8" ht="22" customHeight="1">
      <c r="A1987" s="1" t="str">
        <f>IF(AND('Loan Inputs'!$B$12,1981&lt;=IF('Loan Inputs'!$B$12,'Loan Inputs'!$B$7,0)*'Loan Inputs'!$B$14+5*'Loan Inputs'!$B$14,ISNUMBER(G1986),G1986&gt;0),1981,"")</f>
        <v/>
      </c>
      <c r="B1987" s="4" t="str">
        <f>IF(A1987="","",IF('Loan Inputs'!$B$14=12,DATE(YEAR('Loan Inputs'!$B$8),MONTH('Loan Inputs'!$B$8)+A1987,DAY('Loan Inputs'!$B$8)),'Loan Inputs'!$B$8+A1987*IF('Loan Inputs'!$B$14=26,14,7)))</f>
        <v/>
      </c>
      <c r="C1987" s="2" t="str">
        <f t="shared" si="92"/>
        <v/>
      </c>
      <c r="D1987" s="2" t="str">
        <f>IF(A1987="","",MIN('Loan Inputs'!$B$17,C1987+E1987)+H1987)</f>
        <v/>
      </c>
      <c r="E1987" s="2" t="str">
        <f>IF(A1987="","",C1987*'Loan Inputs'!$B$15)</f>
        <v/>
      </c>
      <c r="F1987" s="2" t="str">
        <f t="shared" si="90"/>
        <v/>
      </c>
      <c r="G1987" s="2" t="str">
        <f t="shared" si="91"/>
        <v/>
      </c>
      <c r="H1987" s="2" t="str">
        <f>IF(A1987="","",MIN('Loan Inputs'!$B$18,MAX(0,C1987+E1987-'Loan Inputs'!$B$17)))</f>
        <v/>
      </c>
    </row>
    <row r="1988" spans="1:8" ht="22" customHeight="1">
      <c r="A1988" s="1" t="str">
        <f>IF(AND('Loan Inputs'!$B$12,1982&lt;=IF('Loan Inputs'!$B$12,'Loan Inputs'!$B$7,0)*'Loan Inputs'!$B$14+5*'Loan Inputs'!$B$14,ISNUMBER(G1987),G1987&gt;0),1982,"")</f>
        <v/>
      </c>
      <c r="B1988" s="4" t="str">
        <f>IF(A1988="","",IF('Loan Inputs'!$B$14=12,DATE(YEAR('Loan Inputs'!$B$8),MONTH('Loan Inputs'!$B$8)+A1988,DAY('Loan Inputs'!$B$8)),'Loan Inputs'!$B$8+A1988*IF('Loan Inputs'!$B$14=26,14,7)))</f>
        <v/>
      </c>
      <c r="C1988" s="2" t="str">
        <f t="shared" si="92"/>
        <v/>
      </c>
      <c r="D1988" s="2" t="str">
        <f>IF(A1988="","",MIN('Loan Inputs'!$B$17,C1988+E1988)+H1988)</f>
        <v/>
      </c>
      <c r="E1988" s="2" t="str">
        <f>IF(A1988="","",C1988*'Loan Inputs'!$B$15)</f>
        <v/>
      </c>
      <c r="F1988" s="2" t="str">
        <f t="shared" si="90"/>
        <v/>
      </c>
      <c r="G1988" s="2" t="str">
        <f t="shared" si="91"/>
        <v/>
      </c>
      <c r="H1988" s="2" t="str">
        <f>IF(A1988="","",MIN('Loan Inputs'!$B$18,MAX(0,C1988+E1988-'Loan Inputs'!$B$17)))</f>
        <v/>
      </c>
    </row>
    <row r="1989" spans="1:8" ht="22" customHeight="1">
      <c r="A1989" s="1" t="str">
        <f>IF(AND('Loan Inputs'!$B$12,1983&lt;=IF('Loan Inputs'!$B$12,'Loan Inputs'!$B$7,0)*'Loan Inputs'!$B$14+5*'Loan Inputs'!$B$14,ISNUMBER(G1988),G1988&gt;0),1983,"")</f>
        <v/>
      </c>
      <c r="B1989" s="4" t="str">
        <f>IF(A1989="","",IF('Loan Inputs'!$B$14=12,DATE(YEAR('Loan Inputs'!$B$8),MONTH('Loan Inputs'!$B$8)+A1989,DAY('Loan Inputs'!$B$8)),'Loan Inputs'!$B$8+A1989*IF('Loan Inputs'!$B$14=26,14,7)))</f>
        <v/>
      </c>
      <c r="C1989" s="2" t="str">
        <f t="shared" si="92"/>
        <v/>
      </c>
      <c r="D1989" s="2" t="str">
        <f>IF(A1989="","",MIN('Loan Inputs'!$B$17,C1989+E1989)+H1989)</f>
        <v/>
      </c>
      <c r="E1989" s="2" t="str">
        <f>IF(A1989="","",C1989*'Loan Inputs'!$B$15)</f>
        <v/>
      </c>
      <c r="F1989" s="2" t="str">
        <f t="shared" si="90"/>
        <v/>
      </c>
      <c r="G1989" s="2" t="str">
        <f t="shared" si="91"/>
        <v/>
      </c>
      <c r="H1989" s="2" t="str">
        <f>IF(A1989="","",MIN('Loan Inputs'!$B$18,MAX(0,C1989+E1989-'Loan Inputs'!$B$17)))</f>
        <v/>
      </c>
    </row>
    <row r="1990" spans="1:8" ht="22" customHeight="1">
      <c r="A1990" s="1" t="str">
        <f>IF(AND('Loan Inputs'!$B$12,1984&lt;=IF('Loan Inputs'!$B$12,'Loan Inputs'!$B$7,0)*'Loan Inputs'!$B$14+5*'Loan Inputs'!$B$14,ISNUMBER(G1989),G1989&gt;0),1984,"")</f>
        <v/>
      </c>
      <c r="B1990" s="4" t="str">
        <f>IF(A1990="","",IF('Loan Inputs'!$B$14=12,DATE(YEAR('Loan Inputs'!$B$8),MONTH('Loan Inputs'!$B$8)+A1990,DAY('Loan Inputs'!$B$8)),'Loan Inputs'!$B$8+A1990*IF('Loan Inputs'!$B$14=26,14,7)))</f>
        <v/>
      </c>
      <c r="C1990" s="2" t="str">
        <f t="shared" si="92"/>
        <v/>
      </c>
      <c r="D1990" s="2" t="str">
        <f>IF(A1990="","",MIN('Loan Inputs'!$B$17,C1990+E1990)+H1990)</f>
        <v/>
      </c>
      <c r="E1990" s="2" t="str">
        <f>IF(A1990="","",C1990*'Loan Inputs'!$B$15)</f>
        <v/>
      </c>
      <c r="F1990" s="2" t="str">
        <f t="shared" si="90"/>
        <v/>
      </c>
      <c r="G1990" s="2" t="str">
        <f t="shared" si="91"/>
        <v/>
      </c>
      <c r="H1990" s="2" t="str">
        <f>IF(A1990="","",MIN('Loan Inputs'!$B$18,MAX(0,C1990+E1990-'Loan Inputs'!$B$17)))</f>
        <v/>
      </c>
    </row>
    <row r="1991" spans="1:8" ht="22" customHeight="1">
      <c r="A1991" s="1" t="str">
        <f>IF(AND('Loan Inputs'!$B$12,1985&lt;=IF('Loan Inputs'!$B$12,'Loan Inputs'!$B$7,0)*'Loan Inputs'!$B$14+5*'Loan Inputs'!$B$14,ISNUMBER(G1990),G1990&gt;0),1985,"")</f>
        <v/>
      </c>
      <c r="B1991" s="4" t="str">
        <f>IF(A1991="","",IF('Loan Inputs'!$B$14=12,DATE(YEAR('Loan Inputs'!$B$8),MONTH('Loan Inputs'!$B$8)+A1991,DAY('Loan Inputs'!$B$8)),'Loan Inputs'!$B$8+A1991*IF('Loan Inputs'!$B$14=26,14,7)))</f>
        <v/>
      </c>
      <c r="C1991" s="2" t="str">
        <f t="shared" si="92"/>
        <v/>
      </c>
      <c r="D1991" s="2" t="str">
        <f>IF(A1991="","",MIN('Loan Inputs'!$B$17,C1991+E1991)+H1991)</f>
        <v/>
      </c>
      <c r="E1991" s="2" t="str">
        <f>IF(A1991="","",C1991*'Loan Inputs'!$B$15)</f>
        <v/>
      </c>
      <c r="F1991" s="2" t="str">
        <f t="shared" ref="F1991:F2054" si="93">IF(A1991="","",MIN(C1991,D1991-E1991))</f>
        <v/>
      </c>
      <c r="G1991" s="2" t="str">
        <f t="shared" ref="G1991:G2054" si="94">IF(A1991="","",IF(C1991-F1991&lt;0.0000001,0,MAX(0,C1991-F1991)))</f>
        <v/>
      </c>
      <c r="H1991" s="2" t="str">
        <f>IF(A1991="","",MIN('Loan Inputs'!$B$18,MAX(0,C1991+E1991-'Loan Inputs'!$B$17)))</f>
        <v/>
      </c>
    </row>
    <row r="1992" spans="1:8" ht="22" customHeight="1">
      <c r="A1992" s="1" t="str">
        <f>IF(AND('Loan Inputs'!$B$12,1986&lt;=IF('Loan Inputs'!$B$12,'Loan Inputs'!$B$7,0)*'Loan Inputs'!$B$14+5*'Loan Inputs'!$B$14,ISNUMBER(G1991),G1991&gt;0),1986,"")</f>
        <v/>
      </c>
      <c r="B1992" s="4" t="str">
        <f>IF(A1992="","",IF('Loan Inputs'!$B$14=12,DATE(YEAR('Loan Inputs'!$B$8),MONTH('Loan Inputs'!$B$8)+A1992,DAY('Loan Inputs'!$B$8)),'Loan Inputs'!$B$8+A1992*IF('Loan Inputs'!$B$14=26,14,7)))</f>
        <v/>
      </c>
      <c r="C1992" s="2" t="str">
        <f t="shared" ref="C1992:C2055" si="95">IF(A1992="","",G1991)</f>
        <v/>
      </c>
      <c r="D1992" s="2" t="str">
        <f>IF(A1992="","",MIN('Loan Inputs'!$B$17,C1992+E1992)+H1992)</f>
        <v/>
      </c>
      <c r="E1992" s="2" t="str">
        <f>IF(A1992="","",C1992*'Loan Inputs'!$B$15)</f>
        <v/>
      </c>
      <c r="F1992" s="2" t="str">
        <f t="shared" si="93"/>
        <v/>
      </c>
      <c r="G1992" s="2" t="str">
        <f t="shared" si="94"/>
        <v/>
      </c>
      <c r="H1992" s="2" t="str">
        <f>IF(A1992="","",MIN('Loan Inputs'!$B$18,MAX(0,C1992+E1992-'Loan Inputs'!$B$17)))</f>
        <v/>
      </c>
    </row>
    <row r="1993" spans="1:8" ht="22" customHeight="1">
      <c r="A1993" s="1" t="str">
        <f>IF(AND('Loan Inputs'!$B$12,1987&lt;=IF('Loan Inputs'!$B$12,'Loan Inputs'!$B$7,0)*'Loan Inputs'!$B$14+5*'Loan Inputs'!$B$14,ISNUMBER(G1992),G1992&gt;0),1987,"")</f>
        <v/>
      </c>
      <c r="B1993" s="4" t="str">
        <f>IF(A1993="","",IF('Loan Inputs'!$B$14=12,DATE(YEAR('Loan Inputs'!$B$8),MONTH('Loan Inputs'!$B$8)+A1993,DAY('Loan Inputs'!$B$8)),'Loan Inputs'!$B$8+A1993*IF('Loan Inputs'!$B$14=26,14,7)))</f>
        <v/>
      </c>
      <c r="C1993" s="2" t="str">
        <f t="shared" si="95"/>
        <v/>
      </c>
      <c r="D1993" s="2" t="str">
        <f>IF(A1993="","",MIN('Loan Inputs'!$B$17,C1993+E1993)+H1993)</f>
        <v/>
      </c>
      <c r="E1993" s="2" t="str">
        <f>IF(A1993="","",C1993*'Loan Inputs'!$B$15)</f>
        <v/>
      </c>
      <c r="F1993" s="2" t="str">
        <f t="shared" si="93"/>
        <v/>
      </c>
      <c r="G1993" s="2" t="str">
        <f t="shared" si="94"/>
        <v/>
      </c>
      <c r="H1993" s="2" t="str">
        <f>IF(A1993="","",MIN('Loan Inputs'!$B$18,MAX(0,C1993+E1993-'Loan Inputs'!$B$17)))</f>
        <v/>
      </c>
    </row>
    <row r="1994" spans="1:8" ht="22" customHeight="1">
      <c r="A1994" s="1" t="str">
        <f>IF(AND('Loan Inputs'!$B$12,1988&lt;=IF('Loan Inputs'!$B$12,'Loan Inputs'!$B$7,0)*'Loan Inputs'!$B$14+5*'Loan Inputs'!$B$14,ISNUMBER(G1993),G1993&gt;0),1988,"")</f>
        <v/>
      </c>
      <c r="B1994" s="4" t="str">
        <f>IF(A1994="","",IF('Loan Inputs'!$B$14=12,DATE(YEAR('Loan Inputs'!$B$8),MONTH('Loan Inputs'!$B$8)+A1994,DAY('Loan Inputs'!$B$8)),'Loan Inputs'!$B$8+A1994*IF('Loan Inputs'!$B$14=26,14,7)))</f>
        <v/>
      </c>
      <c r="C1994" s="2" t="str">
        <f t="shared" si="95"/>
        <v/>
      </c>
      <c r="D1994" s="2" t="str">
        <f>IF(A1994="","",MIN('Loan Inputs'!$B$17,C1994+E1994)+H1994)</f>
        <v/>
      </c>
      <c r="E1994" s="2" t="str">
        <f>IF(A1994="","",C1994*'Loan Inputs'!$B$15)</f>
        <v/>
      </c>
      <c r="F1994" s="2" t="str">
        <f t="shared" si="93"/>
        <v/>
      </c>
      <c r="G1994" s="2" t="str">
        <f t="shared" si="94"/>
        <v/>
      </c>
      <c r="H1994" s="2" t="str">
        <f>IF(A1994="","",MIN('Loan Inputs'!$B$18,MAX(0,C1994+E1994-'Loan Inputs'!$B$17)))</f>
        <v/>
      </c>
    </row>
    <row r="1995" spans="1:8" ht="22" customHeight="1">
      <c r="A1995" s="1" t="str">
        <f>IF(AND('Loan Inputs'!$B$12,1989&lt;=IF('Loan Inputs'!$B$12,'Loan Inputs'!$B$7,0)*'Loan Inputs'!$B$14+5*'Loan Inputs'!$B$14,ISNUMBER(G1994),G1994&gt;0),1989,"")</f>
        <v/>
      </c>
      <c r="B1995" s="4" t="str">
        <f>IF(A1995="","",IF('Loan Inputs'!$B$14=12,DATE(YEAR('Loan Inputs'!$B$8),MONTH('Loan Inputs'!$B$8)+A1995,DAY('Loan Inputs'!$B$8)),'Loan Inputs'!$B$8+A1995*IF('Loan Inputs'!$B$14=26,14,7)))</f>
        <v/>
      </c>
      <c r="C1995" s="2" t="str">
        <f t="shared" si="95"/>
        <v/>
      </c>
      <c r="D1995" s="2" t="str">
        <f>IF(A1995="","",MIN('Loan Inputs'!$B$17,C1995+E1995)+H1995)</f>
        <v/>
      </c>
      <c r="E1995" s="2" t="str">
        <f>IF(A1995="","",C1995*'Loan Inputs'!$B$15)</f>
        <v/>
      </c>
      <c r="F1995" s="2" t="str">
        <f t="shared" si="93"/>
        <v/>
      </c>
      <c r="G1995" s="2" t="str">
        <f t="shared" si="94"/>
        <v/>
      </c>
      <c r="H1995" s="2" t="str">
        <f>IF(A1995="","",MIN('Loan Inputs'!$B$18,MAX(0,C1995+E1995-'Loan Inputs'!$B$17)))</f>
        <v/>
      </c>
    </row>
    <row r="1996" spans="1:8" ht="22" customHeight="1">
      <c r="A1996" s="1" t="str">
        <f>IF(AND('Loan Inputs'!$B$12,1990&lt;=IF('Loan Inputs'!$B$12,'Loan Inputs'!$B$7,0)*'Loan Inputs'!$B$14+5*'Loan Inputs'!$B$14,ISNUMBER(G1995),G1995&gt;0),1990,"")</f>
        <v/>
      </c>
      <c r="B1996" s="4" t="str">
        <f>IF(A1996="","",IF('Loan Inputs'!$B$14=12,DATE(YEAR('Loan Inputs'!$B$8),MONTH('Loan Inputs'!$B$8)+A1996,DAY('Loan Inputs'!$B$8)),'Loan Inputs'!$B$8+A1996*IF('Loan Inputs'!$B$14=26,14,7)))</f>
        <v/>
      </c>
      <c r="C1996" s="2" t="str">
        <f t="shared" si="95"/>
        <v/>
      </c>
      <c r="D1996" s="2" t="str">
        <f>IF(A1996="","",MIN('Loan Inputs'!$B$17,C1996+E1996)+H1996)</f>
        <v/>
      </c>
      <c r="E1996" s="2" t="str">
        <f>IF(A1996="","",C1996*'Loan Inputs'!$B$15)</f>
        <v/>
      </c>
      <c r="F1996" s="2" t="str">
        <f t="shared" si="93"/>
        <v/>
      </c>
      <c r="G1996" s="2" t="str">
        <f t="shared" si="94"/>
        <v/>
      </c>
      <c r="H1996" s="2" t="str">
        <f>IF(A1996="","",MIN('Loan Inputs'!$B$18,MAX(0,C1996+E1996-'Loan Inputs'!$B$17)))</f>
        <v/>
      </c>
    </row>
    <row r="1997" spans="1:8" ht="22" customHeight="1">
      <c r="A1997" s="1" t="str">
        <f>IF(AND('Loan Inputs'!$B$12,1991&lt;=IF('Loan Inputs'!$B$12,'Loan Inputs'!$B$7,0)*'Loan Inputs'!$B$14+5*'Loan Inputs'!$B$14,ISNUMBER(G1996),G1996&gt;0),1991,"")</f>
        <v/>
      </c>
      <c r="B1997" s="4" t="str">
        <f>IF(A1997="","",IF('Loan Inputs'!$B$14=12,DATE(YEAR('Loan Inputs'!$B$8),MONTH('Loan Inputs'!$B$8)+A1997,DAY('Loan Inputs'!$B$8)),'Loan Inputs'!$B$8+A1997*IF('Loan Inputs'!$B$14=26,14,7)))</f>
        <v/>
      </c>
      <c r="C1997" s="2" t="str">
        <f t="shared" si="95"/>
        <v/>
      </c>
      <c r="D1997" s="2" t="str">
        <f>IF(A1997="","",MIN('Loan Inputs'!$B$17,C1997+E1997)+H1997)</f>
        <v/>
      </c>
      <c r="E1997" s="2" t="str">
        <f>IF(A1997="","",C1997*'Loan Inputs'!$B$15)</f>
        <v/>
      </c>
      <c r="F1997" s="2" t="str">
        <f t="shared" si="93"/>
        <v/>
      </c>
      <c r="G1997" s="2" t="str">
        <f t="shared" si="94"/>
        <v/>
      </c>
      <c r="H1997" s="2" t="str">
        <f>IF(A1997="","",MIN('Loan Inputs'!$B$18,MAX(0,C1997+E1997-'Loan Inputs'!$B$17)))</f>
        <v/>
      </c>
    </row>
    <row r="1998" spans="1:8" ht="22" customHeight="1">
      <c r="A1998" s="1" t="str">
        <f>IF(AND('Loan Inputs'!$B$12,1992&lt;=IF('Loan Inputs'!$B$12,'Loan Inputs'!$B$7,0)*'Loan Inputs'!$B$14+5*'Loan Inputs'!$B$14,ISNUMBER(G1997),G1997&gt;0),1992,"")</f>
        <v/>
      </c>
      <c r="B1998" s="4" t="str">
        <f>IF(A1998="","",IF('Loan Inputs'!$B$14=12,DATE(YEAR('Loan Inputs'!$B$8),MONTH('Loan Inputs'!$B$8)+A1998,DAY('Loan Inputs'!$B$8)),'Loan Inputs'!$B$8+A1998*IF('Loan Inputs'!$B$14=26,14,7)))</f>
        <v/>
      </c>
      <c r="C1998" s="2" t="str">
        <f t="shared" si="95"/>
        <v/>
      </c>
      <c r="D1998" s="2" t="str">
        <f>IF(A1998="","",MIN('Loan Inputs'!$B$17,C1998+E1998)+H1998)</f>
        <v/>
      </c>
      <c r="E1998" s="2" t="str">
        <f>IF(A1998="","",C1998*'Loan Inputs'!$B$15)</f>
        <v/>
      </c>
      <c r="F1998" s="2" t="str">
        <f t="shared" si="93"/>
        <v/>
      </c>
      <c r="G1998" s="2" t="str">
        <f t="shared" si="94"/>
        <v/>
      </c>
      <c r="H1998" s="2" t="str">
        <f>IF(A1998="","",MIN('Loan Inputs'!$B$18,MAX(0,C1998+E1998-'Loan Inputs'!$B$17)))</f>
        <v/>
      </c>
    </row>
    <row r="1999" spans="1:8" ht="22" customHeight="1">
      <c r="A1999" s="1" t="str">
        <f>IF(AND('Loan Inputs'!$B$12,1993&lt;=IF('Loan Inputs'!$B$12,'Loan Inputs'!$B$7,0)*'Loan Inputs'!$B$14+5*'Loan Inputs'!$B$14,ISNUMBER(G1998),G1998&gt;0),1993,"")</f>
        <v/>
      </c>
      <c r="B1999" s="4" t="str">
        <f>IF(A1999="","",IF('Loan Inputs'!$B$14=12,DATE(YEAR('Loan Inputs'!$B$8),MONTH('Loan Inputs'!$B$8)+A1999,DAY('Loan Inputs'!$B$8)),'Loan Inputs'!$B$8+A1999*IF('Loan Inputs'!$B$14=26,14,7)))</f>
        <v/>
      </c>
      <c r="C1999" s="2" t="str">
        <f t="shared" si="95"/>
        <v/>
      </c>
      <c r="D1999" s="2" t="str">
        <f>IF(A1999="","",MIN('Loan Inputs'!$B$17,C1999+E1999)+H1999)</f>
        <v/>
      </c>
      <c r="E1999" s="2" t="str">
        <f>IF(A1999="","",C1999*'Loan Inputs'!$B$15)</f>
        <v/>
      </c>
      <c r="F1999" s="2" t="str">
        <f t="shared" si="93"/>
        <v/>
      </c>
      <c r="G1999" s="2" t="str">
        <f t="shared" si="94"/>
        <v/>
      </c>
      <c r="H1999" s="2" t="str">
        <f>IF(A1999="","",MIN('Loan Inputs'!$B$18,MAX(0,C1999+E1999-'Loan Inputs'!$B$17)))</f>
        <v/>
      </c>
    </row>
    <row r="2000" spans="1:8" ht="22" customHeight="1">
      <c r="A2000" s="1" t="str">
        <f>IF(AND('Loan Inputs'!$B$12,1994&lt;=IF('Loan Inputs'!$B$12,'Loan Inputs'!$B$7,0)*'Loan Inputs'!$B$14+5*'Loan Inputs'!$B$14,ISNUMBER(G1999),G1999&gt;0),1994,"")</f>
        <v/>
      </c>
      <c r="B2000" s="4" t="str">
        <f>IF(A2000="","",IF('Loan Inputs'!$B$14=12,DATE(YEAR('Loan Inputs'!$B$8),MONTH('Loan Inputs'!$B$8)+A2000,DAY('Loan Inputs'!$B$8)),'Loan Inputs'!$B$8+A2000*IF('Loan Inputs'!$B$14=26,14,7)))</f>
        <v/>
      </c>
      <c r="C2000" s="2" t="str">
        <f t="shared" si="95"/>
        <v/>
      </c>
      <c r="D2000" s="2" t="str">
        <f>IF(A2000="","",MIN('Loan Inputs'!$B$17,C2000+E2000)+H2000)</f>
        <v/>
      </c>
      <c r="E2000" s="2" t="str">
        <f>IF(A2000="","",C2000*'Loan Inputs'!$B$15)</f>
        <v/>
      </c>
      <c r="F2000" s="2" t="str">
        <f t="shared" si="93"/>
        <v/>
      </c>
      <c r="G2000" s="2" t="str">
        <f t="shared" si="94"/>
        <v/>
      </c>
      <c r="H2000" s="2" t="str">
        <f>IF(A2000="","",MIN('Loan Inputs'!$B$18,MAX(0,C2000+E2000-'Loan Inputs'!$B$17)))</f>
        <v/>
      </c>
    </row>
    <row r="2001" spans="1:8" ht="22" customHeight="1">
      <c r="A2001" s="1" t="str">
        <f>IF(AND('Loan Inputs'!$B$12,1995&lt;=IF('Loan Inputs'!$B$12,'Loan Inputs'!$B$7,0)*'Loan Inputs'!$B$14+5*'Loan Inputs'!$B$14,ISNUMBER(G2000),G2000&gt;0),1995,"")</f>
        <v/>
      </c>
      <c r="B2001" s="4" t="str">
        <f>IF(A2001="","",IF('Loan Inputs'!$B$14=12,DATE(YEAR('Loan Inputs'!$B$8),MONTH('Loan Inputs'!$B$8)+A2001,DAY('Loan Inputs'!$B$8)),'Loan Inputs'!$B$8+A2001*IF('Loan Inputs'!$B$14=26,14,7)))</f>
        <v/>
      </c>
      <c r="C2001" s="2" t="str">
        <f t="shared" si="95"/>
        <v/>
      </c>
      <c r="D2001" s="2" t="str">
        <f>IF(A2001="","",MIN('Loan Inputs'!$B$17,C2001+E2001)+H2001)</f>
        <v/>
      </c>
      <c r="E2001" s="2" t="str">
        <f>IF(A2001="","",C2001*'Loan Inputs'!$B$15)</f>
        <v/>
      </c>
      <c r="F2001" s="2" t="str">
        <f t="shared" si="93"/>
        <v/>
      </c>
      <c r="G2001" s="2" t="str">
        <f t="shared" si="94"/>
        <v/>
      </c>
      <c r="H2001" s="2" t="str">
        <f>IF(A2001="","",MIN('Loan Inputs'!$B$18,MAX(0,C2001+E2001-'Loan Inputs'!$B$17)))</f>
        <v/>
      </c>
    </row>
    <row r="2002" spans="1:8" ht="22" customHeight="1">
      <c r="A2002" s="1" t="str">
        <f>IF(AND('Loan Inputs'!$B$12,1996&lt;=IF('Loan Inputs'!$B$12,'Loan Inputs'!$B$7,0)*'Loan Inputs'!$B$14+5*'Loan Inputs'!$B$14,ISNUMBER(G2001),G2001&gt;0),1996,"")</f>
        <v/>
      </c>
      <c r="B2002" s="4" t="str">
        <f>IF(A2002="","",IF('Loan Inputs'!$B$14=12,DATE(YEAR('Loan Inputs'!$B$8),MONTH('Loan Inputs'!$B$8)+A2002,DAY('Loan Inputs'!$B$8)),'Loan Inputs'!$B$8+A2002*IF('Loan Inputs'!$B$14=26,14,7)))</f>
        <v/>
      </c>
      <c r="C2002" s="2" t="str">
        <f t="shared" si="95"/>
        <v/>
      </c>
      <c r="D2002" s="2" t="str">
        <f>IF(A2002="","",MIN('Loan Inputs'!$B$17,C2002+E2002)+H2002)</f>
        <v/>
      </c>
      <c r="E2002" s="2" t="str">
        <f>IF(A2002="","",C2002*'Loan Inputs'!$B$15)</f>
        <v/>
      </c>
      <c r="F2002" s="2" t="str">
        <f t="shared" si="93"/>
        <v/>
      </c>
      <c r="G2002" s="2" t="str">
        <f t="shared" si="94"/>
        <v/>
      </c>
      <c r="H2002" s="2" t="str">
        <f>IF(A2002="","",MIN('Loan Inputs'!$B$18,MAX(0,C2002+E2002-'Loan Inputs'!$B$17)))</f>
        <v/>
      </c>
    </row>
    <row r="2003" spans="1:8" ht="22" customHeight="1">
      <c r="A2003" s="1" t="str">
        <f>IF(AND('Loan Inputs'!$B$12,1997&lt;=IF('Loan Inputs'!$B$12,'Loan Inputs'!$B$7,0)*'Loan Inputs'!$B$14+5*'Loan Inputs'!$B$14,ISNUMBER(G2002),G2002&gt;0),1997,"")</f>
        <v/>
      </c>
      <c r="B2003" s="4" t="str">
        <f>IF(A2003="","",IF('Loan Inputs'!$B$14=12,DATE(YEAR('Loan Inputs'!$B$8),MONTH('Loan Inputs'!$B$8)+A2003,DAY('Loan Inputs'!$B$8)),'Loan Inputs'!$B$8+A2003*IF('Loan Inputs'!$B$14=26,14,7)))</f>
        <v/>
      </c>
      <c r="C2003" s="2" t="str">
        <f t="shared" si="95"/>
        <v/>
      </c>
      <c r="D2003" s="2" t="str">
        <f>IF(A2003="","",MIN('Loan Inputs'!$B$17,C2003+E2003)+H2003)</f>
        <v/>
      </c>
      <c r="E2003" s="2" t="str">
        <f>IF(A2003="","",C2003*'Loan Inputs'!$B$15)</f>
        <v/>
      </c>
      <c r="F2003" s="2" t="str">
        <f t="shared" si="93"/>
        <v/>
      </c>
      <c r="G2003" s="2" t="str">
        <f t="shared" si="94"/>
        <v/>
      </c>
      <c r="H2003" s="2" t="str">
        <f>IF(A2003="","",MIN('Loan Inputs'!$B$18,MAX(0,C2003+E2003-'Loan Inputs'!$B$17)))</f>
        <v/>
      </c>
    </row>
    <row r="2004" spans="1:8" ht="22" customHeight="1">
      <c r="A2004" s="1" t="str">
        <f>IF(AND('Loan Inputs'!$B$12,1998&lt;=IF('Loan Inputs'!$B$12,'Loan Inputs'!$B$7,0)*'Loan Inputs'!$B$14+5*'Loan Inputs'!$B$14,ISNUMBER(G2003),G2003&gt;0),1998,"")</f>
        <v/>
      </c>
      <c r="B2004" s="4" t="str">
        <f>IF(A2004="","",IF('Loan Inputs'!$B$14=12,DATE(YEAR('Loan Inputs'!$B$8),MONTH('Loan Inputs'!$B$8)+A2004,DAY('Loan Inputs'!$B$8)),'Loan Inputs'!$B$8+A2004*IF('Loan Inputs'!$B$14=26,14,7)))</f>
        <v/>
      </c>
      <c r="C2004" s="2" t="str">
        <f t="shared" si="95"/>
        <v/>
      </c>
      <c r="D2004" s="2" t="str">
        <f>IF(A2004="","",MIN('Loan Inputs'!$B$17,C2004+E2004)+H2004)</f>
        <v/>
      </c>
      <c r="E2004" s="2" t="str">
        <f>IF(A2004="","",C2004*'Loan Inputs'!$B$15)</f>
        <v/>
      </c>
      <c r="F2004" s="2" t="str">
        <f t="shared" si="93"/>
        <v/>
      </c>
      <c r="G2004" s="2" t="str">
        <f t="shared" si="94"/>
        <v/>
      </c>
      <c r="H2004" s="2" t="str">
        <f>IF(A2004="","",MIN('Loan Inputs'!$B$18,MAX(0,C2004+E2004-'Loan Inputs'!$B$17)))</f>
        <v/>
      </c>
    </row>
    <row r="2005" spans="1:8" ht="22" customHeight="1">
      <c r="A2005" s="1" t="str">
        <f>IF(AND('Loan Inputs'!$B$12,1999&lt;=IF('Loan Inputs'!$B$12,'Loan Inputs'!$B$7,0)*'Loan Inputs'!$B$14+5*'Loan Inputs'!$B$14,ISNUMBER(G2004),G2004&gt;0),1999,"")</f>
        <v/>
      </c>
      <c r="B2005" s="4" t="str">
        <f>IF(A2005="","",IF('Loan Inputs'!$B$14=12,DATE(YEAR('Loan Inputs'!$B$8),MONTH('Loan Inputs'!$B$8)+A2005,DAY('Loan Inputs'!$B$8)),'Loan Inputs'!$B$8+A2005*IF('Loan Inputs'!$B$14=26,14,7)))</f>
        <v/>
      </c>
      <c r="C2005" s="2" t="str">
        <f t="shared" si="95"/>
        <v/>
      </c>
      <c r="D2005" s="2" t="str">
        <f>IF(A2005="","",MIN('Loan Inputs'!$B$17,C2005+E2005)+H2005)</f>
        <v/>
      </c>
      <c r="E2005" s="2" t="str">
        <f>IF(A2005="","",C2005*'Loan Inputs'!$B$15)</f>
        <v/>
      </c>
      <c r="F2005" s="2" t="str">
        <f t="shared" si="93"/>
        <v/>
      </c>
      <c r="G2005" s="2" t="str">
        <f t="shared" si="94"/>
        <v/>
      </c>
      <c r="H2005" s="2" t="str">
        <f>IF(A2005="","",MIN('Loan Inputs'!$B$18,MAX(0,C2005+E2005-'Loan Inputs'!$B$17)))</f>
        <v/>
      </c>
    </row>
    <row r="2006" spans="1:8" ht="22" customHeight="1">
      <c r="A2006" s="1" t="str">
        <f>IF(AND('Loan Inputs'!$B$12,2000&lt;=IF('Loan Inputs'!$B$12,'Loan Inputs'!$B$7,0)*'Loan Inputs'!$B$14+5*'Loan Inputs'!$B$14,ISNUMBER(G2005),G2005&gt;0),2000,"")</f>
        <v/>
      </c>
      <c r="B2006" s="4" t="str">
        <f>IF(A2006="","",IF('Loan Inputs'!$B$14=12,DATE(YEAR('Loan Inputs'!$B$8),MONTH('Loan Inputs'!$B$8)+A2006,DAY('Loan Inputs'!$B$8)),'Loan Inputs'!$B$8+A2006*IF('Loan Inputs'!$B$14=26,14,7)))</f>
        <v/>
      </c>
      <c r="C2006" s="2" t="str">
        <f t="shared" si="95"/>
        <v/>
      </c>
      <c r="D2006" s="2" t="str">
        <f>IF(A2006="","",MIN('Loan Inputs'!$B$17,C2006+E2006)+H2006)</f>
        <v/>
      </c>
      <c r="E2006" s="2" t="str">
        <f>IF(A2006="","",C2006*'Loan Inputs'!$B$15)</f>
        <v/>
      </c>
      <c r="F2006" s="2" t="str">
        <f t="shared" si="93"/>
        <v/>
      </c>
      <c r="G2006" s="2" t="str">
        <f t="shared" si="94"/>
        <v/>
      </c>
      <c r="H2006" s="2" t="str">
        <f>IF(A2006="","",MIN('Loan Inputs'!$B$18,MAX(0,C2006+E2006-'Loan Inputs'!$B$17)))</f>
        <v/>
      </c>
    </row>
    <row r="2007" spans="1:8" ht="22" customHeight="1">
      <c r="A2007" s="1" t="str">
        <f>IF(AND('Loan Inputs'!$B$12,2001&lt;=IF('Loan Inputs'!$B$12,'Loan Inputs'!$B$7,0)*'Loan Inputs'!$B$14+5*'Loan Inputs'!$B$14,ISNUMBER(G2006),G2006&gt;0),2001,"")</f>
        <v/>
      </c>
      <c r="B2007" s="4" t="str">
        <f>IF(A2007="","",IF('Loan Inputs'!$B$14=12,DATE(YEAR('Loan Inputs'!$B$8),MONTH('Loan Inputs'!$B$8)+A2007,DAY('Loan Inputs'!$B$8)),'Loan Inputs'!$B$8+A2007*IF('Loan Inputs'!$B$14=26,14,7)))</f>
        <v/>
      </c>
      <c r="C2007" s="2" t="str">
        <f t="shared" si="95"/>
        <v/>
      </c>
      <c r="D2007" s="2" t="str">
        <f>IF(A2007="","",MIN('Loan Inputs'!$B$17,C2007+E2007)+H2007)</f>
        <v/>
      </c>
      <c r="E2007" s="2" t="str">
        <f>IF(A2007="","",C2007*'Loan Inputs'!$B$15)</f>
        <v/>
      </c>
      <c r="F2007" s="2" t="str">
        <f t="shared" si="93"/>
        <v/>
      </c>
      <c r="G2007" s="2" t="str">
        <f t="shared" si="94"/>
        <v/>
      </c>
      <c r="H2007" s="2" t="str">
        <f>IF(A2007="","",MIN('Loan Inputs'!$B$18,MAX(0,C2007+E2007-'Loan Inputs'!$B$17)))</f>
        <v/>
      </c>
    </row>
    <row r="2008" spans="1:8" ht="22" customHeight="1">
      <c r="A2008" s="1" t="str">
        <f>IF(AND('Loan Inputs'!$B$12,2002&lt;=IF('Loan Inputs'!$B$12,'Loan Inputs'!$B$7,0)*'Loan Inputs'!$B$14+5*'Loan Inputs'!$B$14,ISNUMBER(G2007),G2007&gt;0),2002,"")</f>
        <v/>
      </c>
      <c r="B2008" s="4" t="str">
        <f>IF(A2008="","",IF('Loan Inputs'!$B$14=12,DATE(YEAR('Loan Inputs'!$B$8),MONTH('Loan Inputs'!$B$8)+A2008,DAY('Loan Inputs'!$B$8)),'Loan Inputs'!$B$8+A2008*IF('Loan Inputs'!$B$14=26,14,7)))</f>
        <v/>
      </c>
      <c r="C2008" s="2" t="str">
        <f t="shared" si="95"/>
        <v/>
      </c>
      <c r="D2008" s="2" t="str">
        <f>IF(A2008="","",MIN('Loan Inputs'!$B$17,C2008+E2008)+H2008)</f>
        <v/>
      </c>
      <c r="E2008" s="2" t="str">
        <f>IF(A2008="","",C2008*'Loan Inputs'!$B$15)</f>
        <v/>
      </c>
      <c r="F2008" s="2" t="str">
        <f t="shared" si="93"/>
        <v/>
      </c>
      <c r="G2008" s="2" t="str">
        <f t="shared" si="94"/>
        <v/>
      </c>
      <c r="H2008" s="2" t="str">
        <f>IF(A2008="","",MIN('Loan Inputs'!$B$18,MAX(0,C2008+E2008-'Loan Inputs'!$B$17)))</f>
        <v/>
      </c>
    </row>
    <row r="2009" spans="1:8" ht="22" customHeight="1">
      <c r="A2009" s="1" t="str">
        <f>IF(AND('Loan Inputs'!$B$12,2003&lt;=IF('Loan Inputs'!$B$12,'Loan Inputs'!$B$7,0)*'Loan Inputs'!$B$14+5*'Loan Inputs'!$B$14,ISNUMBER(G2008),G2008&gt;0),2003,"")</f>
        <v/>
      </c>
      <c r="B2009" s="4" t="str">
        <f>IF(A2009="","",IF('Loan Inputs'!$B$14=12,DATE(YEAR('Loan Inputs'!$B$8),MONTH('Loan Inputs'!$B$8)+A2009,DAY('Loan Inputs'!$B$8)),'Loan Inputs'!$B$8+A2009*IF('Loan Inputs'!$B$14=26,14,7)))</f>
        <v/>
      </c>
      <c r="C2009" s="2" t="str">
        <f t="shared" si="95"/>
        <v/>
      </c>
      <c r="D2009" s="2" t="str">
        <f>IF(A2009="","",MIN('Loan Inputs'!$B$17,C2009+E2009)+H2009)</f>
        <v/>
      </c>
      <c r="E2009" s="2" t="str">
        <f>IF(A2009="","",C2009*'Loan Inputs'!$B$15)</f>
        <v/>
      </c>
      <c r="F2009" s="2" t="str">
        <f t="shared" si="93"/>
        <v/>
      </c>
      <c r="G2009" s="2" t="str">
        <f t="shared" si="94"/>
        <v/>
      </c>
      <c r="H2009" s="2" t="str">
        <f>IF(A2009="","",MIN('Loan Inputs'!$B$18,MAX(0,C2009+E2009-'Loan Inputs'!$B$17)))</f>
        <v/>
      </c>
    </row>
    <row r="2010" spans="1:8" ht="22" customHeight="1">
      <c r="A2010" s="1" t="str">
        <f>IF(AND('Loan Inputs'!$B$12,2004&lt;=IF('Loan Inputs'!$B$12,'Loan Inputs'!$B$7,0)*'Loan Inputs'!$B$14+5*'Loan Inputs'!$B$14,ISNUMBER(G2009),G2009&gt;0),2004,"")</f>
        <v/>
      </c>
      <c r="B2010" s="4" t="str">
        <f>IF(A2010="","",IF('Loan Inputs'!$B$14=12,DATE(YEAR('Loan Inputs'!$B$8),MONTH('Loan Inputs'!$B$8)+A2010,DAY('Loan Inputs'!$B$8)),'Loan Inputs'!$B$8+A2010*IF('Loan Inputs'!$B$14=26,14,7)))</f>
        <v/>
      </c>
      <c r="C2010" s="2" t="str">
        <f t="shared" si="95"/>
        <v/>
      </c>
      <c r="D2010" s="2" t="str">
        <f>IF(A2010="","",MIN('Loan Inputs'!$B$17,C2010+E2010)+H2010)</f>
        <v/>
      </c>
      <c r="E2010" s="2" t="str">
        <f>IF(A2010="","",C2010*'Loan Inputs'!$B$15)</f>
        <v/>
      </c>
      <c r="F2010" s="2" t="str">
        <f t="shared" si="93"/>
        <v/>
      </c>
      <c r="G2010" s="2" t="str">
        <f t="shared" si="94"/>
        <v/>
      </c>
      <c r="H2010" s="2" t="str">
        <f>IF(A2010="","",MIN('Loan Inputs'!$B$18,MAX(0,C2010+E2010-'Loan Inputs'!$B$17)))</f>
        <v/>
      </c>
    </row>
    <row r="2011" spans="1:8" ht="22" customHeight="1">
      <c r="A2011" s="1" t="str">
        <f>IF(AND('Loan Inputs'!$B$12,2005&lt;=IF('Loan Inputs'!$B$12,'Loan Inputs'!$B$7,0)*'Loan Inputs'!$B$14+5*'Loan Inputs'!$B$14,ISNUMBER(G2010),G2010&gt;0),2005,"")</f>
        <v/>
      </c>
      <c r="B2011" s="4" t="str">
        <f>IF(A2011="","",IF('Loan Inputs'!$B$14=12,DATE(YEAR('Loan Inputs'!$B$8),MONTH('Loan Inputs'!$B$8)+A2011,DAY('Loan Inputs'!$B$8)),'Loan Inputs'!$B$8+A2011*IF('Loan Inputs'!$B$14=26,14,7)))</f>
        <v/>
      </c>
      <c r="C2011" s="2" t="str">
        <f t="shared" si="95"/>
        <v/>
      </c>
      <c r="D2011" s="2" t="str">
        <f>IF(A2011="","",MIN('Loan Inputs'!$B$17,C2011+E2011)+H2011)</f>
        <v/>
      </c>
      <c r="E2011" s="2" t="str">
        <f>IF(A2011="","",C2011*'Loan Inputs'!$B$15)</f>
        <v/>
      </c>
      <c r="F2011" s="2" t="str">
        <f t="shared" si="93"/>
        <v/>
      </c>
      <c r="G2011" s="2" t="str">
        <f t="shared" si="94"/>
        <v/>
      </c>
      <c r="H2011" s="2" t="str">
        <f>IF(A2011="","",MIN('Loan Inputs'!$B$18,MAX(0,C2011+E2011-'Loan Inputs'!$B$17)))</f>
        <v/>
      </c>
    </row>
    <row r="2012" spans="1:8" ht="22" customHeight="1">
      <c r="A2012" s="1" t="str">
        <f>IF(AND('Loan Inputs'!$B$12,2006&lt;=IF('Loan Inputs'!$B$12,'Loan Inputs'!$B$7,0)*'Loan Inputs'!$B$14+5*'Loan Inputs'!$B$14,ISNUMBER(G2011),G2011&gt;0),2006,"")</f>
        <v/>
      </c>
      <c r="B2012" s="4" t="str">
        <f>IF(A2012="","",IF('Loan Inputs'!$B$14=12,DATE(YEAR('Loan Inputs'!$B$8),MONTH('Loan Inputs'!$B$8)+A2012,DAY('Loan Inputs'!$B$8)),'Loan Inputs'!$B$8+A2012*IF('Loan Inputs'!$B$14=26,14,7)))</f>
        <v/>
      </c>
      <c r="C2012" s="2" t="str">
        <f t="shared" si="95"/>
        <v/>
      </c>
      <c r="D2012" s="2" t="str">
        <f>IF(A2012="","",MIN('Loan Inputs'!$B$17,C2012+E2012)+H2012)</f>
        <v/>
      </c>
      <c r="E2012" s="2" t="str">
        <f>IF(A2012="","",C2012*'Loan Inputs'!$B$15)</f>
        <v/>
      </c>
      <c r="F2012" s="2" t="str">
        <f t="shared" si="93"/>
        <v/>
      </c>
      <c r="G2012" s="2" t="str">
        <f t="shared" si="94"/>
        <v/>
      </c>
      <c r="H2012" s="2" t="str">
        <f>IF(A2012="","",MIN('Loan Inputs'!$B$18,MAX(0,C2012+E2012-'Loan Inputs'!$B$17)))</f>
        <v/>
      </c>
    </row>
    <row r="2013" spans="1:8" ht="22" customHeight="1">
      <c r="A2013" s="1" t="str">
        <f>IF(AND('Loan Inputs'!$B$12,2007&lt;=IF('Loan Inputs'!$B$12,'Loan Inputs'!$B$7,0)*'Loan Inputs'!$B$14+5*'Loan Inputs'!$B$14,ISNUMBER(G2012),G2012&gt;0),2007,"")</f>
        <v/>
      </c>
      <c r="B2013" s="4" t="str">
        <f>IF(A2013="","",IF('Loan Inputs'!$B$14=12,DATE(YEAR('Loan Inputs'!$B$8),MONTH('Loan Inputs'!$B$8)+A2013,DAY('Loan Inputs'!$B$8)),'Loan Inputs'!$B$8+A2013*IF('Loan Inputs'!$B$14=26,14,7)))</f>
        <v/>
      </c>
      <c r="C2013" s="2" t="str">
        <f t="shared" si="95"/>
        <v/>
      </c>
      <c r="D2013" s="2" t="str">
        <f>IF(A2013="","",MIN('Loan Inputs'!$B$17,C2013+E2013)+H2013)</f>
        <v/>
      </c>
      <c r="E2013" s="2" t="str">
        <f>IF(A2013="","",C2013*'Loan Inputs'!$B$15)</f>
        <v/>
      </c>
      <c r="F2013" s="2" t="str">
        <f t="shared" si="93"/>
        <v/>
      </c>
      <c r="G2013" s="2" t="str">
        <f t="shared" si="94"/>
        <v/>
      </c>
      <c r="H2013" s="2" t="str">
        <f>IF(A2013="","",MIN('Loan Inputs'!$B$18,MAX(0,C2013+E2013-'Loan Inputs'!$B$17)))</f>
        <v/>
      </c>
    </row>
    <row r="2014" spans="1:8" ht="22" customHeight="1">
      <c r="A2014" s="1" t="str">
        <f>IF(AND('Loan Inputs'!$B$12,2008&lt;=IF('Loan Inputs'!$B$12,'Loan Inputs'!$B$7,0)*'Loan Inputs'!$B$14+5*'Loan Inputs'!$B$14,ISNUMBER(G2013),G2013&gt;0),2008,"")</f>
        <v/>
      </c>
      <c r="B2014" s="4" t="str">
        <f>IF(A2014="","",IF('Loan Inputs'!$B$14=12,DATE(YEAR('Loan Inputs'!$B$8),MONTH('Loan Inputs'!$B$8)+A2014,DAY('Loan Inputs'!$B$8)),'Loan Inputs'!$B$8+A2014*IF('Loan Inputs'!$B$14=26,14,7)))</f>
        <v/>
      </c>
      <c r="C2014" s="2" t="str">
        <f t="shared" si="95"/>
        <v/>
      </c>
      <c r="D2014" s="2" t="str">
        <f>IF(A2014="","",MIN('Loan Inputs'!$B$17,C2014+E2014)+H2014)</f>
        <v/>
      </c>
      <c r="E2014" s="2" t="str">
        <f>IF(A2014="","",C2014*'Loan Inputs'!$B$15)</f>
        <v/>
      </c>
      <c r="F2014" s="2" t="str">
        <f t="shared" si="93"/>
        <v/>
      </c>
      <c r="G2014" s="2" t="str">
        <f t="shared" si="94"/>
        <v/>
      </c>
      <c r="H2014" s="2" t="str">
        <f>IF(A2014="","",MIN('Loan Inputs'!$B$18,MAX(0,C2014+E2014-'Loan Inputs'!$B$17)))</f>
        <v/>
      </c>
    </row>
    <row r="2015" spans="1:8" ht="22" customHeight="1">
      <c r="A2015" s="1" t="str">
        <f>IF(AND('Loan Inputs'!$B$12,2009&lt;=IF('Loan Inputs'!$B$12,'Loan Inputs'!$B$7,0)*'Loan Inputs'!$B$14+5*'Loan Inputs'!$B$14,ISNUMBER(G2014),G2014&gt;0),2009,"")</f>
        <v/>
      </c>
      <c r="B2015" s="4" t="str">
        <f>IF(A2015="","",IF('Loan Inputs'!$B$14=12,DATE(YEAR('Loan Inputs'!$B$8),MONTH('Loan Inputs'!$B$8)+A2015,DAY('Loan Inputs'!$B$8)),'Loan Inputs'!$B$8+A2015*IF('Loan Inputs'!$B$14=26,14,7)))</f>
        <v/>
      </c>
      <c r="C2015" s="2" t="str">
        <f t="shared" si="95"/>
        <v/>
      </c>
      <c r="D2015" s="2" t="str">
        <f>IF(A2015="","",MIN('Loan Inputs'!$B$17,C2015+E2015)+H2015)</f>
        <v/>
      </c>
      <c r="E2015" s="2" t="str">
        <f>IF(A2015="","",C2015*'Loan Inputs'!$B$15)</f>
        <v/>
      </c>
      <c r="F2015" s="2" t="str">
        <f t="shared" si="93"/>
        <v/>
      </c>
      <c r="G2015" s="2" t="str">
        <f t="shared" si="94"/>
        <v/>
      </c>
      <c r="H2015" s="2" t="str">
        <f>IF(A2015="","",MIN('Loan Inputs'!$B$18,MAX(0,C2015+E2015-'Loan Inputs'!$B$17)))</f>
        <v/>
      </c>
    </row>
    <row r="2016" spans="1:8" ht="22" customHeight="1">
      <c r="A2016" s="1" t="str">
        <f>IF(AND('Loan Inputs'!$B$12,2010&lt;=IF('Loan Inputs'!$B$12,'Loan Inputs'!$B$7,0)*'Loan Inputs'!$B$14+5*'Loan Inputs'!$B$14,ISNUMBER(G2015),G2015&gt;0),2010,"")</f>
        <v/>
      </c>
      <c r="B2016" s="4" t="str">
        <f>IF(A2016="","",IF('Loan Inputs'!$B$14=12,DATE(YEAR('Loan Inputs'!$B$8),MONTH('Loan Inputs'!$B$8)+A2016,DAY('Loan Inputs'!$B$8)),'Loan Inputs'!$B$8+A2016*IF('Loan Inputs'!$B$14=26,14,7)))</f>
        <v/>
      </c>
      <c r="C2016" s="2" t="str">
        <f t="shared" si="95"/>
        <v/>
      </c>
      <c r="D2016" s="2" t="str">
        <f>IF(A2016="","",MIN('Loan Inputs'!$B$17,C2016+E2016)+H2016)</f>
        <v/>
      </c>
      <c r="E2016" s="2" t="str">
        <f>IF(A2016="","",C2016*'Loan Inputs'!$B$15)</f>
        <v/>
      </c>
      <c r="F2016" s="2" t="str">
        <f t="shared" si="93"/>
        <v/>
      </c>
      <c r="G2016" s="2" t="str">
        <f t="shared" si="94"/>
        <v/>
      </c>
      <c r="H2016" s="2" t="str">
        <f>IF(A2016="","",MIN('Loan Inputs'!$B$18,MAX(0,C2016+E2016-'Loan Inputs'!$B$17)))</f>
        <v/>
      </c>
    </row>
    <row r="2017" spans="1:8" ht="22" customHeight="1">
      <c r="A2017" s="1" t="str">
        <f>IF(AND('Loan Inputs'!$B$12,2011&lt;=IF('Loan Inputs'!$B$12,'Loan Inputs'!$B$7,0)*'Loan Inputs'!$B$14+5*'Loan Inputs'!$B$14,ISNUMBER(G2016),G2016&gt;0),2011,"")</f>
        <v/>
      </c>
      <c r="B2017" s="4" t="str">
        <f>IF(A2017="","",IF('Loan Inputs'!$B$14=12,DATE(YEAR('Loan Inputs'!$B$8),MONTH('Loan Inputs'!$B$8)+A2017,DAY('Loan Inputs'!$B$8)),'Loan Inputs'!$B$8+A2017*IF('Loan Inputs'!$B$14=26,14,7)))</f>
        <v/>
      </c>
      <c r="C2017" s="2" t="str">
        <f t="shared" si="95"/>
        <v/>
      </c>
      <c r="D2017" s="2" t="str">
        <f>IF(A2017="","",MIN('Loan Inputs'!$B$17,C2017+E2017)+H2017)</f>
        <v/>
      </c>
      <c r="E2017" s="2" t="str">
        <f>IF(A2017="","",C2017*'Loan Inputs'!$B$15)</f>
        <v/>
      </c>
      <c r="F2017" s="2" t="str">
        <f t="shared" si="93"/>
        <v/>
      </c>
      <c r="G2017" s="2" t="str">
        <f t="shared" si="94"/>
        <v/>
      </c>
      <c r="H2017" s="2" t="str">
        <f>IF(A2017="","",MIN('Loan Inputs'!$B$18,MAX(0,C2017+E2017-'Loan Inputs'!$B$17)))</f>
        <v/>
      </c>
    </row>
    <row r="2018" spans="1:8" ht="22" customHeight="1">
      <c r="A2018" s="1" t="str">
        <f>IF(AND('Loan Inputs'!$B$12,2012&lt;=IF('Loan Inputs'!$B$12,'Loan Inputs'!$B$7,0)*'Loan Inputs'!$B$14+5*'Loan Inputs'!$B$14,ISNUMBER(G2017),G2017&gt;0),2012,"")</f>
        <v/>
      </c>
      <c r="B2018" s="4" t="str">
        <f>IF(A2018="","",IF('Loan Inputs'!$B$14=12,DATE(YEAR('Loan Inputs'!$B$8),MONTH('Loan Inputs'!$B$8)+A2018,DAY('Loan Inputs'!$B$8)),'Loan Inputs'!$B$8+A2018*IF('Loan Inputs'!$B$14=26,14,7)))</f>
        <v/>
      </c>
      <c r="C2018" s="2" t="str">
        <f t="shared" si="95"/>
        <v/>
      </c>
      <c r="D2018" s="2" t="str">
        <f>IF(A2018="","",MIN('Loan Inputs'!$B$17,C2018+E2018)+H2018)</f>
        <v/>
      </c>
      <c r="E2018" s="2" t="str">
        <f>IF(A2018="","",C2018*'Loan Inputs'!$B$15)</f>
        <v/>
      </c>
      <c r="F2018" s="2" t="str">
        <f t="shared" si="93"/>
        <v/>
      </c>
      <c r="G2018" s="2" t="str">
        <f t="shared" si="94"/>
        <v/>
      </c>
      <c r="H2018" s="2" t="str">
        <f>IF(A2018="","",MIN('Loan Inputs'!$B$18,MAX(0,C2018+E2018-'Loan Inputs'!$B$17)))</f>
        <v/>
      </c>
    </row>
    <row r="2019" spans="1:8" ht="22" customHeight="1">
      <c r="A2019" s="1" t="str">
        <f>IF(AND('Loan Inputs'!$B$12,2013&lt;=IF('Loan Inputs'!$B$12,'Loan Inputs'!$B$7,0)*'Loan Inputs'!$B$14+5*'Loan Inputs'!$B$14,ISNUMBER(G2018),G2018&gt;0),2013,"")</f>
        <v/>
      </c>
      <c r="B2019" s="4" t="str">
        <f>IF(A2019="","",IF('Loan Inputs'!$B$14=12,DATE(YEAR('Loan Inputs'!$B$8),MONTH('Loan Inputs'!$B$8)+A2019,DAY('Loan Inputs'!$B$8)),'Loan Inputs'!$B$8+A2019*IF('Loan Inputs'!$B$14=26,14,7)))</f>
        <v/>
      </c>
      <c r="C2019" s="2" t="str">
        <f t="shared" si="95"/>
        <v/>
      </c>
      <c r="D2019" s="2" t="str">
        <f>IF(A2019="","",MIN('Loan Inputs'!$B$17,C2019+E2019)+H2019)</f>
        <v/>
      </c>
      <c r="E2019" s="2" t="str">
        <f>IF(A2019="","",C2019*'Loan Inputs'!$B$15)</f>
        <v/>
      </c>
      <c r="F2019" s="2" t="str">
        <f t="shared" si="93"/>
        <v/>
      </c>
      <c r="G2019" s="2" t="str">
        <f t="shared" si="94"/>
        <v/>
      </c>
      <c r="H2019" s="2" t="str">
        <f>IF(A2019="","",MIN('Loan Inputs'!$B$18,MAX(0,C2019+E2019-'Loan Inputs'!$B$17)))</f>
        <v/>
      </c>
    </row>
    <row r="2020" spans="1:8" ht="22" customHeight="1">
      <c r="A2020" s="1" t="str">
        <f>IF(AND('Loan Inputs'!$B$12,2014&lt;=IF('Loan Inputs'!$B$12,'Loan Inputs'!$B$7,0)*'Loan Inputs'!$B$14+5*'Loan Inputs'!$B$14,ISNUMBER(G2019),G2019&gt;0),2014,"")</f>
        <v/>
      </c>
      <c r="B2020" s="4" t="str">
        <f>IF(A2020="","",IF('Loan Inputs'!$B$14=12,DATE(YEAR('Loan Inputs'!$B$8),MONTH('Loan Inputs'!$B$8)+A2020,DAY('Loan Inputs'!$B$8)),'Loan Inputs'!$B$8+A2020*IF('Loan Inputs'!$B$14=26,14,7)))</f>
        <v/>
      </c>
      <c r="C2020" s="2" t="str">
        <f t="shared" si="95"/>
        <v/>
      </c>
      <c r="D2020" s="2" t="str">
        <f>IF(A2020="","",MIN('Loan Inputs'!$B$17,C2020+E2020)+H2020)</f>
        <v/>
      </c>
      <c r="E2020" s="2" t="str">
        <f>IF(A2020="","",C2020*'Loan Inputs'!$B$15)</f>
        <v/>
      </c>
      <c r="F2020" s="2" t="str">
        <f t="shared" si="93"/>
        <v/>
      </c>
      <c r="G2020" s="2" t="str">
        <f t="shared" si="94"/>
        <v/>
      </c>
      <c r="H2020" s="2" t="str">
        <f>IF(A2020="","",MIN('Loan Inputs'!$B$18,MAX(0,C2020+E2020-'Loan Inputs'!$B$17)))</f>
        <v/>
      </c>
    </row>
    <row r="2021" spans="1:8" ht="22" customHeight="1">
      <c r="A2021" s="1" t="str">
        <f>IF(AND('Loan Inputs'!$B$12,2015&lt;=IF('Loan Inputs'!$B$12,'Loan Inputs'!$B$7,0)*'Loan Inputs'!$B$14+5*'Loan Inputs'!$B$14,ISNUMBER(G2020),G2020&gt;0),2015,"")</f>
        <v/>
      </c>
      <c r="B2021" s="4" t="str">
        <f>IF(A2021="","",IF('Loan Inputs'!$B$14=12,DATE(YEAR('Loan Inputs'!$B$8),MONTH('Loan Inputs'!$B$8)+A2021,DAY('Loan Inputs'!$B$8)),'Loan Inputs'!$B$8+A2021*IF('Loan Inputs'!$B$14=26,14,7)))</f>
        <v/>
      </c>
      <c r="C2021" s="2" t="str">
        <f t="shared" si="95"/>
        <v/>
      </c>
      <c r="D2021" s="2" t="str">
        <f>IF(A2021="","",MIN('Loan Inputs'!$B$17,C2021+E2021)+H2021)</f>
        <v/>
      </c>
      <c r="E2021" s="2" t="str">
        <f>IF(A2021="","",C2021*'Loan Inputs'!$B$15)</f>
        <v/>
      </c>
      <c r="F2021" s="2" t="str">
        <f t="shared" si="93"/>
        <v/>
      </c>
      <c r="G2021" s="2" t="str">
        <f t="shared" si="94"/>
        <v/>
      </c>
      <c r="H2021" s="2" t="str">
        <f>IF(A2021="","",MIN('Loan Inputs'!$B$18,MAX(0,C2021+E2021-'Loan Inputs'!$B$17)))</f>
        <v/>
      </c>
    </row>
    <row r="2022" spans="1:8" ht="22" customHeight="1">
      <c r="A2022" s="1" t="str">
        <f>IF(AND('Loan Inputs'!$B$12,2016&lt;=IF('Loan Inputs'!$B$12,'Loan Inputs'!$B$7,0)*'Loan Inputs'!$B$14+5*'Loan Inputs'!$B$14,ISNUMBER(G2021),G2021&gt;0),2016,"")</f>
        <v/>
      </c>
      <c r="B2022" s="4" t="str">
        <f>IF(A2022="","",IF('Loan Inputs'!$B$14=12,DATE(YEAR('Loan Inputs'!$B$8),MONTH('Loan Inputs'!$B$8)+A2022,DAY('Loan Inputs'!$B$8)),'Loan Inputs'!$B$8+A2022*IF('Loan Inputs'!$B$14=26,14,7)))</f>
        <v/>
      </c>
      <c r="C2022" s="2" t="str">
        <f t="shared" si="95"/>
        <v/>
      </c>
      <c r="D2022" s="2" t="str">
        <f>IF(A2022="","",MIN('Loan Inputs'!$B$17,C2022+E2022)+H2022)</f>
        <v/>
      </c>
      <c r="E2022" s="2" t="str">
        <f>IF(A2022="","",C2022*'Loan Inputs'!$B$15)</f>
        <v/>
      </c>
      <c r="F2022" s="2" t="str">
        <f t="shared" si="93"/>
        <v/>
      </c>
      <c r="G2022" s="2" t="str">
        <f t="shared" si="94"/>
        <v/>
      </c>
      <c r="H2022" s="2" t="str">
        <f>IF(A2022="","",MIN('Loan Inputs'!$B$18,MAX(0,C2022+E2022-'Loan Inputs'!$B$17)))</f>
        <v/>
      </c>
    </row>
    <row r="2023" spans="1:8" ht="22" customHeight="1">
      <c r="A2023" s="1" t="str">
        <f>IF(AND('Loan Inputs'!$B$12,2017&lt;=IF('Loan Inputs'!$B$12,'Loan Inputs'!$B$7,0)*'Loan Inputs'!$B$14+5*'Loan Inputs'!$B$14,ISNUMBER(G2022),G2022&gt;0),2017,"")</f>
        <v/>
      </c>
      <c r="B2023" s="4" t="str">
        <f>IF(A2023="","",IF('Loan Inputs'!$B$14=12,DATE(YEAR('Loan Inputs'!$B$8),MONTH('Loan Inputs'!$B$8)+A2023,DAY('Loan Inputs'!$B$8)),'Loan Inputs'!$B$8+A2023*IF('Loan Inputs'!$B$14=26,14,7)))</f>
        <v/>
      </c>
      <c r="C2023" s="2" t="str">
        <f t="shared" si="95"/>
        <v/>
      </c>
      <c r="D2023" s="2" t="str">
        <f>IF(A2023="","",MIN('Loan Inputs'!$B$17,C2023+E2023)+H2023)</f>
        <v/>
      </c>
      <c r="E2023" s="2" t="str">
        <f>IF(A2023="","",C2023*'Loan Inputs'!$B$15)</f>
        <v/>
      </c>
      <c r="F2023" s="2" t="str">
        <f t="shared" si="93"/>
        <v/>
      </c>
      <c r="G2023" s="2" t="str">
        <f t="shared" si="94"/>
        <v/>
      </c>
      <c r="H2023" s="2" t="str">
        <f>IF(A2023="","",MIN('Loan Inputs'!$B$18,MAX(0,C2023+E2023-'Loan Inputs'!$B$17)))</f>
        <v/>
      </c>
    </row>
    <row r="2024" spans="1:8" ht="22" customHeight="1">
      <c r="A2024" s="1" t="str">
        <f>IF(AND('Loan Inputs'!$B$12,2018&lt;=IF('Loan Inputs'!$B$12,'Loan Inputs'!$B$7,0)*'Loan Inputs'!$B$14+5*'Loan Inputs'!$B$14,ISNUMBER(G2023),G2023&gt;0),2018,"")</f>
        <v/>
      </c>
      <c r="B2024" s="4" t="str">
        <f>IF(A2024="","",IF('Loan Inputs'!$B$14=12,DATE(YEAR('Loan Inputs'!$B$8),MONTH('Loan Inputs'!$B$8)+A2024,DAY('Loan Inputs'!$B$8)),'Loan Inputs'!$B$8+A2024*IF('Loan Inputs'!$B$14=26,14,7)))</f>
        <v/>
      </c>
      <c r="C2024" s="2" t="str">
        <f t="shared" si="95"/>
        <v/>
      </c>
      <c r="D2024" s="2" t="str">
        <f>IF(A2024="","",MIN('Loan Inputs'!$B$17,C2024+E2024)+H2024)</f>
        <v/>
      </c>
      <c r="E2024" s="2" t="str">
        <f>IF(A2024="","",C2024*'Loan Inputs'!$B$15)</f>
        <v/>
      </c>
      <c r="F2024" s="2" t="str">
        <f t="shared" si="93"/>
        <v/>
      </c>
      <c r="G2024" s="2" t="str">
        <f t="shared" si="94"/>
        <v/>
      </c>
      <c r="H2024" s="2" t="str">
        <f>IF(A2024="","",MIN('Loan Inputs'!$B$18,MAX(0,C2024+E2024-'Loan Inputs'!$B$17)))</f>
        <v/>
      </c>
    </row>
    <row r="2025" spans="1:8" ht="22" customHeight="1">
      <c r="A2025" s="1" t="str">
        <f>IF(AND('Loan Inputs'!$B$12,2019&lt;=IF('Loan Inputs'!$B$12,'Loan Inputs'!$B$7,0)*'Loan Inputs'!$B$14+5*'Loan Inputs'!$B$14,ISNUMBER(G2024),G2024&gt;0),2019,"")</f>
        <v/>
      </c>
      <c r="B2025" s="4" t="str">
        <f>IF(A2025="","",IF('Loan Inputs'!$B$14=12,DATE(YEAR('Loan Inputs'!$B$8),MONTH('Loan Inputs'!$B$8)+A2025,DAY('Loan Inputs'!$B$8)),'Loan Inputs'!$B$8+A2025*IF('Loan Inputs'!$B$14=26,14,7)))</f>
        <v/>
      </c>
      <c r="C2025" s="2" t="str">
        <f t="shared" si="95"/>
        <v/>
      </c>
      <c r="D2025" s="2" t="str">
        <f>IF(A2025="","",MIN('Loan Inputs'!$B$17,C2025+E2025)+H2025)</f>
        <v/>
      </c>
      <c r="E2025" s="2" t="str">
        <f>IF(A2025="","",C2025*'Loan Inputs'!$B$15)</f>
        <v/>
      </c>
      <c r="F2025" s="2" t="str">
        <f t="shared" si="93"/>
        <v/>
      </c>
      <c r="G2025" s="2" t="str">
        <f t="shared" si="94"/>
        <v/>
      </c>
      <c r="H2025" s="2" t="str">
        <f>IF(A2025="","",MIN('Loan Inputs'!$B$18,MAX(0,C2025+E2025-'Loan Inputs'!$B$17)))</f>
        <v/>
      </c>
    </row>
    <row r="2026" spans="1:8" ht="22" customHeight="1">
      <c r="A2026" s="1" t="str">
        <f>IF(AND('Loan Inputs'!$B$12,2020&lt;=IF('Loan Inputs'!$B$12,'Loan Inputs'!$B$7,0)*'Loan Inputs'!$B$14+5*'Loan Inputs'!$B$14,ISNUMBER(G2025),G2025&gt;0),2020,"")</f>
        <v/>
      </c>
      <c r="B2026" s="4" t="str">
        <f>IF(A2026="","",IF('Loan Inputs'!$B$14=12,DATE(YEAR('Loan Inputs'!$B$8),MONTH('Loan Inputs'!$B$8)+A2026,DAY('Loan Inputs'!$B$8)),'Loan Inputs'!$B$8+A2026*IF('Loan Inputs'!$B$14=26,14,7)))</f>
        <v/>
      </c>
      <c r="C2026" s="2" t="str">
        <f t="shared" si="95"/>
        <v/>
      </c>
      <c r="D2026" s="2" t="str">
        <f>IF(A2026="","",MIN('Loan Inputs'!$B$17,C2026+E2026)+H2026)</f>
        <v/>
      </c>
      <c r="E2026" s="2" t="str">
        <f>IF(A2026="","",C2026*'Loan Inputs'!$B$15)</f>
        <v/>
      </c>
      <c r="F2026" s="2" t="str">
        <f t="shared" si="93"/>
        <v/>
      </c>
      <c r="G2026" s="2" t="str">
        <f t="shared" si="94"/>
        <v/>
      </c>
      <c r="H2026" s="2" t="str">
        <f>IF(A2026="","",MIN('Loan Inputs'!$B$18,MAX(0,C2026+E2026-'Loan Inputs'!$B$17)))</f>
        <v/>
      </c>
    </row>
    <row r="2027" spans="1:8" ht="22" customHeight="1">
      <c r="A2027" s="1" t="str">
        <f>IF(AND('Loan Inputs'!$B$12,2021&lt;=IF('Loan Inputs'!$B$12,'Loan Inputs'!$B$7,0)*'Loan Inputs'!$B$14+5*'Loan Inputs'!$B$14,ISNUMBER(G2026),G2026&gt;0),2021,"")</f>
        <v/>
      </c>
      <c r="B2027" s="4" t="str">
        <f>IF(A2027="","",IF('Loan Inputs'!$B$14=12,DATE(YEAR('Loan Inputs'!$B$8),MONTH('Loan Inputs'!$B$8)+A2027,DAY('Loan Inputs'!$B$8)),'Loan Inputs'!$B$8+A2027*IF('Loan Inputs'!$B$14=26,14,7)))</f>
        <v/>
      </c>
      <c r="C2027" s="2" t="str">
        <f t="shared" si="95"/>
        <v/>
      </c>
      <c r="D2027" s="2" t="str">
        <f>IF(A2027="","",MIN('Loan Inputs'!$B$17,C2027+E2027)+H2027)</f>
        <v/>
      </c>
      <c r="E2027" s="2" t="str">
        <f>IF(A2027="","",C2027*'Loan Inputs'!$B$15)</f>
        <v/>
      </c>
      <c r="F2027" s="2" t="str">
        <f t="shared" si="93"/>
        <v/>
      </c>
      <c r="G2027" s="2" t="str">
        <f t="shared" si="94"/>
        <v/>
      </c>
      <c r="H2027" s="2" t="str">
        <f>IF(A2027="","",MIN('Loan Inputs'!$B$18,MAX(0,C2027+E2027-'Loan Inputs'!$B$17)))</f>
        <v/>
      </c>
    </row>
    <row r="2028" spans="1:8" ht="22" customHeight="1">
      <c r="A2028" s="1" t="str">
        <f>IF(AND('Loan Inputs'!$B$12,2022&lt;=IF('Loan Inputs'!$B$12,'Loan Inputs'!$B$7,0)*'Loan Inputs'!$B$14+5*'Loan Inputs'!$B$14,ISNUMBER(G2027),G2027&gt;0),2022,"")</f>
        <v/>
      </c>
      <c r="B2028" s="4" t="str">
        <f>IF(A2028="","",IF('Loan Inputs'!$B$14=12,DATE(YEAR('Loan Inputs'!$B$8),MONTH('Loan Inputs'!$B$8)+A2028,DAY('Loan Inputs'!$B$8)),'Loan Inputs'!$B$8+A2028*IF('Loan Inputs'!$B$14=26,14,7)))</f>
        <v/>
      </c>
      <c r="C2028" s="2" t="str">
        <f t="shared" si="95"/>
        <v/>
      </c>
      <c r="D2028" s="2" t="str">
        <f>IF(A2028="","",MIN('Loan Inputs'!$B$17,C2028+E2028)+H2028)</f>
        <v/>
      </c>
      <c r="E2028" s="2" t="str">
        <f>IF(A2028="","",C2028*'Loan Inputs'!$B$15)</f>
        <v/>
      </c>
      <c r="F2028" s="2" t="str">
        <f t="shared" si="93"/>
        <v/>
      </c>
      <c r="G2028" s="2" t="str">
        <f t="shared" si="94"/>
        <v/>
      </c>
      <c r="H2028" s="2" t="str">
        <f>IF(A2028="","",MIN('Loan Inputs'!$B$18,MAX(0,C2028+E2028-'Loan Inputs'!$B$17)))</f>
        <v/>
      </c>
    </row>
    <row r="2029" spans="1:8" ht="22" customHeight="1">
      <c r="A2029" s="1" t="str">
        <f>IF(AND('Loan Inputs'!$B$12,2023&lt;=IF('Loan Inputs'!$B$12,'Loan Inputs'!$B$7,0)*'Loan Inputs'!$B$14+5*'Loan Inputs'!$B$14,ISNUMBER(G2028),G2028&gt;0),2023,"")</f>
        <v/>
      </c>
      <c r="B2029" s="4" t="str">
        <f>IF(A2029="","",IF('Loan Inputs'!$B$14=12,DATE(YEAR('Loan Inputs'!$B$8),MONTH('Loan Inputs'!$B$8)+A2029,DAY('Loan Inputs'!$B$8)),'Loan Inputs'!$B$8+A2029*IF('Loan Inputs'!$B$14=26,14,7)))</f>
        <v/>
      </c>
      <c r="C2029" s="2" t="str">
        <f t="shared" si="95"/>
        <v/>
      </c>
      <c r="D2029" s="2" t="str">
        <f>IF(A2029="","",MIN('Loan Inputs'!$B$17,C2029+E2029)+H2029)</f>
        <v/>
      </c>
      <c r="E2029" s="2" t="str">
        <f>IF(A2029="","",C2029*'Loan Inputs'!$B$15)</f>
        <v/>
      </c>
      <c r="F2029" s="2" t="str">
        <f t="shared" si="93"/>
        <v/>
      </c>
      <c r="G2029" s="2" t="str">
        <f t="shared" si="94"/>
        <v/>
      </c>
      <c r="H2029" s="2" t="str">
        <f>IF(A2029="","",MIN('Loan Inputs'!$B$18,MAX(0,C2029+E2029-'Loan Inputs'!$B$17)))</f>
        <v/>
      </c>
    </row>
    <row r="2030" spans="1:8" ht="22" customHeight="1">
      <c r="A2030" s="1" t="str">
        <f>IF(AND('Loan Inputs'!$B$12,2024&lt;=IF('Loan Inputs'!$B$12,'Loan Inputs'!$B$7,0)*'Loan Inputs'!$B$14+5*'Loan Inputs'!$B$14,ISNUMBER(G2029),G2029&gt;0),2024,"")</f>
        <v/>
      </c>
      <c r="B2030" s="4" t="str">
        <f>IF(A2030="","",IF('Loan Inputs'!$B$14=12,DATE(YEAR('Loan Inputs'!$B$8),MONTH('Loan Inputs'!$B$8)+A2030,DAY('Loan Inputs'!$B$8)),'Loan Inputs'!$B$8+A2030*IF('Loan Inputs'!$B$14=26,14,7)))</f>
        <v/>
      </c>
      <c r="C2030" s="2" t="str">
        <f t="shared" si="95"/>
        <v/>
      </c>
      <c r="D2030" s="2" t="str">
        <f>IF(A2030="","",MIN('Loan Inputs'!$B$17,C2030+E2030)+H2030)</f>
        <v/>
      </c>
      <c r="E2030" s="2" t="str">
        <f>IF(A2030="","",C2030*'Loan Inputs'!$B$15)</f>
        <v/>
      </c>
      <c r="F2030" s="2" t="str">
        <f t="shared" si="93"/>
        <v/>
      </c>
      <c r="G2030" s="2" t="str">
        <f t="shared" si="94"/>
        <v/>
      </c>
      <c r="H2030" s="2" t="str">
        <f>IF(A2030="","",MIN('Loan Inputs'!$B$18,MAX(0,C2030+E2030-'Loan Inputs'!$B$17)))</f>
        <v/>
      </c>
    </row>
    <row r="2031" spans="1:8" ht="22" customHeight="1">
      <c r="A2031" s="1" t="str">
        <f>IF(AND('Loan Inputs'!$B$12,2025&lt;=IF('Loan Inputs'!$B$12,'Loan Inputs'!$B$7,0)*'Loan Inputs'!$B$14+5*'Loan Inputs'!$B$14,ISNUMBER(G2030),G2030&gt;0),2025,"")</f>
        <v/>
      </c>
      <c r="B2031" s="4" t="str">
        <f>IF(A2031="","",IF('Loan Inputs'!$B$14=12,DATE(YEAR('Loan Inputs'!$B$8),MONTH('Loan Inputs'!$B$8)+A2031,DAY('Loan Inputs'!$B$8)),'Loan Inputs'!$B$8+A2031*IF('Loan Inputs'!$B$14=26,14,7)))</f>
        <v/>
      </c>
      <c r="C2031" s="2" t="str">
        <f t="shared" si="95"/>
        <v/>
      </c>
      <c r="D2031" s="2" t="str">
        <f>IF(A2031="","",MIN('Loan Inputs'!$B$17,C2031+E2031)+H2031)</f>
        <v/>
      </c>
      <c r="E2031" s="2" t="str">
        <f>IF(A2031="","",C2031*'Loan Inputs'!$B$15)</f>
        <v/>
      </c>
      <c r="F2031" s="2" t="str">
        <f t="shared" si="93"/>
        <v/>
      </c>
      <c r="G2031" s="2" t="str">
        <f t="shared" si="94"/>
        <v/>
      </c>
      <c r="H2031" s="2" t="str">
        <f>IF(A2031="","",MIN('Loan Inputs'!$B$18,MAX(0,C2031+E2031-'Loan Inputs'!$B$17)))</f>
        <v/>
      </c>
    </row>
    <row r="2032" spans="1:8" ht="22" customHeight="1">
      <c r="A2032" s="1" t="str">
        <f>IF(AND('Loan Inputs'!$B$12,2026&lt;=IF('Loan Inputs'!$B$12,'Loan Inputs'!$B$7,0)*'Loan Inputs'!$B$14+5*'Loan Inputs'!$B$14,ISNUMBER(G2031),G2031&gt;0),2026,"")</f>
        <v/>
      </c>
      <c r="B2032" s="4" t="str">
        <f>IF(A2032="","",IF('Loan Inputs'!$B$14=12,DATE(YEAR('Loan Inputs'!$B$8),MONTH('Loan Inputs'!$B$8)+A2032,DAY('Loan Inputs'!$B$8)),'Loan Inputs'!$B$8+A2032*IF('Loan Inputs'!$B$14=26,14,7)))</f>
        <v/>
      </c>
      <c r="C2032" s="2" t="str">
        <f t="shared" si="95"/>
        <v/>
      </c>
      <c r="D2032" s="2" t="str">
        <f>IF(A2032="","",MIN('Loan Inputs'!$B$17,C2032+E2032)+H2032)</f>
        <v/>
      </c>
      <c r="E2032" s="2" t="str">
        <f>IF(A2032="","",C2032*'Loan Inputs'!$B$15)</f>
        <v/>
      </c>
      <c r="F2032" s="2" t="str">
        <f t="shared" si="93"/>
        <v/>
      </c>
      <c r="G2032" s="2" t="str">
        <f t="shared" si="94"/>
        <v/>
      </c>
      <c r="H2032" s="2" t="str">
        <f>IF(A2032="","",MIN('Loan Inputs'!$B$18,MAX(0,C2032+E2032-'Loan Inputs'!$B$17)))</f>
        <v/>
      </c>
    </row>
    <row r="2033" spans="1:8" ht="22" customHeight="1">
      <c r="A2033" s="1" t="str">
        <f>IF(AND('Loan Inputs'!$B$12,2027&lt;=IF('Loan Inputs'!$B$12,'Loan Inputs'!$B$7,0)*'Loan Inputs'!$B$14+5*'Loan Inputs'!$B$14,ISNUMBER(G2032),G2032&gt;0),2027,"")</f>
        <v/>
      </c>
      <c r="B2033" s="4" t="str">
        <f>IF(A2033="","",IF('Loan Inputs'!$B$14=12,DATE(YEAR('Loan Inputs'!$B$8),MONTH('Loan Inputs'!$B$8)+A2033,DAY('Loan Inputs'!$B$8)),'Loan Inputs'!$B$8+A2033*IF('Loan Inputs'!$B$14=26,14,7)))</f>
        <v/>
      </c>
      <c r="C2033" s="2" t="str">
        <f t="shared" si="95"/>
        <v/>
      </c>
      <c r="D2033" s="2" t="str">
        <f>IF(A2033="","",MIN('Loan Inputs'!$B$17,C2033+E2033)+H2033)</f>
        <v/>
      </c>
      <c r="E2033" s="2" t="str">
        <f>IF(A2033="","",C2033*'Loan Inputs'!$B$15)</f>
        <v/>
      </c>
      <c r="F2033" s="2" t="str">
        <f t="shared" si="93"/>
        <v/>
      </c>
      <c r="G2033" s="2" t="str">
        <f t="shared" si="94"/>
        <v/>
      </c>
      <c r="H2033" s="2" t="str">
        <f>IF(A2033="","",MIN('Loan Inputs'!$B$18,MAX(0,C2033+E2033-'Loan Inputs'!$B$17)))</f>
        <v/>
      </c>
    </row>
    <row r="2034" spans="1:8" ht="22" customHeight="1">
      <c r="A2034" s="1" t="str">
        <f>IF(AND('Loan Inputs'!$B$12,2028&lt;=IF('Loan Inputs'!$B$12,'Loan Inputs'!$B$7,0)*'Loan Inputs'!$B$14+5*'Loan Inputs'!$B$14,ISNUMBER(G2033),G2033&gt;0),2028,"")</f>
        <v/>
      </c>
      <c r="B2034" s="4" t="str">
        <f>IF(A2034="","",IF('Loan Inputs'!$B$14=12,DATE(YEAR('Loan Inputs'!$B$8),MONTH('Loan Inputs'!$B$8)+A2034,DAY('Loan Inputs'!$B$8)),'Loan Inputs'!$B$8+A2034*IF('Loan Inputs'!$B$14=26,14,7)))</f>
        <v/>
      </c>
      <c r="C2034" s="2" t="str">
        <f t="shared" si="95"/>
        <v/>
      </c>
      <c r="D2034" s="2" t="str">
        <f>IF(A2034="","",MIN('Loan Inputs'!$B$17,C2034+E2034)+H2034)</f>
        <v/>
      </c>
      <c r="E2034" s="2" t="str">
        <f>IF(A2034="","",C2034*'Loan Inputs'!$B$15)</f>
        <v/>
      </c>
      <c r="F2034" s="2" t="str">
        <f t="shared" si="93"/>
        <v/>
      </c>
      <c r="G2034" s="2" t="str">
        <f t="shared" si="94"/>
        <v/>
      </c>
      <c r="H2034" s="2" t="str">
        <f>IF(A2034="","",MIN('Loan Inputs'!$B$18,MAX(0,C2034+E2034-'Loan Inputs'!$B$17)))</f>
        <v/>
      </c>
    </row>
    <row r="2035" spans="1:8" ht="22" customHeight="1">
      <c r="A2035" s="1" t="str">
        <f>IF(AND('Loan Inputs'!$B$12,2029&lt;=IF('Loan Inputs'!$B$12,'Loan Inputs'!$B$7,0)*'Loan Inputs'!$B$14+5*'Loan Inputs'!$B$14,ISNUMBER(G2034),G2034&gt;0),2029,"")</f>
        <v/>
      </c>
      <c r="B2035" s="4" t="str">
        <f>IF(A2035="","",IF('Loan Inputs'!$B$14=12,DATE(YEAR('Loan Inputs'!$B$8),MONTH('Loan Inputs'!$B$8)+A2035,DAY('Loan Inputs'!$B$8)),'Loan Inputs'!$B$8+A2035*IF('Loan Inputs'!$B$14=26,14,7)))</f>
        <v/>
      </c>
      <c r="C2035" s="2" t="str">
        <f t="shared" si="95"/>
        <v/>
      </c>
      <c r="D2035" s="2" t="str">
        <f>IF(A2035="","",MIN('Loan Inputs'!$B$17,C2035+E2035)+H2035)</f>
        <v/>
      </c>
      <c r="E2035" s="2" t="str">
        <f>IF(A2035="","",C2035*'Loan Inputs'!$B$15)</f>
        <v/>
      </c>
      <c r="F2035" s="2" t="str">
        <f t="shared" si="93"/>
        <v/>
      </c>
      <c r="G2035" s="2" t="str">
        <f t="shared" si="94"/>
        <v/>
      </c>
      <c r="H2035" s="2" t="str">
        <f>IF(A2035="","",MIN('Loan Inputs'!$B$18,MAX(0,C2035+E2035-'Loan Inputs'!$B$17)))</f>
        <v/>
      </c>
    </row>
    <row r="2036" spans="1:8" ht="22" customHeight="1">
      <c r="A2036" s="1" t="str">
        <f>IF(AND('Loan Inputs'!$B$12,2030&lt;=IF('Loan Inputs'!$B$12,'Loan Inputs'!$B$7,0)*'Loan Inputs'!$B$14+5*'Loan Inputs'!$B$14,ISNUMBER(G2035),G2035&gt;0),2030,"")</f>
        <v/>
      </c>
      <c r="B2036" s="4" t="str">
        <f>IF(A2036="","",IF('Loan Inputs'!$B$14=12,DATE(YEAR('Loan Inputs'!$B$8),MONTH('Loan Inputs'!$B$8)+A2036,DAY('Loan Inputs'!$B$8)),'Loan Inputs'!$B$8+A2036*IF('Loan Inputs'!$B$14=26,14,7)))</f>
        <v/>
      </c>
      <c r="C2036" s="2" t="str">
        <f t="shared" si="95"/>
        <v/>
      </c>
      <c r="D2036" s="2" t="str">
        <f>IF(A2036="","",MIN('Loan Inputs'!$B$17,C2036+E2036)+H2036)</f>
        <v/>
      </c>
      <c r="E2036" s="2" t="str">
        <f>IF(A2036="","",C2036*'Loan Inputs'!$B$15)</f>
        <v/>
      </c>
      <c r="F2036" s="2" t="str">
        <f t="shared" si="93"/>
        <v/>
      </c>
      <c r="G2036" s="2" t="str">
        <f t="shared" si="94"/>
        <v/>
      </c>
      <c r="H2036" s="2" t="str">
        <f>IF(A2036="","",MIN('Loan Inputs'!$B$18,MAX(0,C2036+E2036-'Loan Inputs'!$B$17)))</f>
        <v/>
      </c>
    </row>
    <row r="2037" spans="1:8" ht="22" customHeight="1">
      <c r="A2037" s="1" t="str">
        <f>IF(AND('Loan Inputs'!$B$12,2031&lt;=IF('Loan Inputs'!$B$12,'Loan Inputs'!$B$7,0)*'Loan Inputs'!$B$14+5*'Loan Inputs'!$B$14,ISNUMBER(G2036),G2036&gt;0),2031,"")</f>
        <v/>
      </c>
      <c r="B2037" s="4" t="str">
        <f>IF(A2037="","",IF('Loan Inputs'!$B$14=12,DATE(YEAR('Loan Inputs'!$B$8),MONTH('Loan Inputs'!$B$8)+A2037,DAY('Loan Inputs'!$B$8)),'Loan Inputs'!$B$8+A2037*IF('Loan Inputs'!$B$14=26,14,7)))</f>
        <v/>
      </c>
      <c r="C2037" s="2" t="str">
        <f t="shared" si="95"/>
        <v/>
      </c>
      <c r="D2037" s="2" t="str">
        <f>IF(A2037="","",MIN('Loan Inputs'!$B$17,C2037+E2037)+H2037)</f>
        <v/>
      </c>
      <c r="E2037" s="2" t="str">
        <f>IF(A2037="","",C2037*'Loan Inputs'!$B$15)</f>
        <v/>
      </c>
      <c r="F2037" s="2" t="str">
        <f t="shared" si="93"/>
        <v/>
      </c>
      <c r="G2037" s="2" t="str">
        <f t="shared" si="94"/>
        <v/>
      </c>
      <c r="H2037" s="2" t="str">
        <f>IF(A2037="","",MIN('Loan Inputs'!$B$18,MAX(0,C2037+E2037-'Loan Inputs'!$B$17)))</f>
        <v/>
      </c>
    </row>
    <row r="2038" spans="1:8" ht="22" customHeight="1">
      <c r="A2038" s="1" t="str">
        <f>IF(AND('Loan Inputs'!$B$12,2032&lt;=IF('Loan Inputs'!$B$12,'Loan Inputs'!$B$7,0)*'Loan Inputs'!$B$14+5*'Loan Inputs'!$B$14,ISNUMBER(G2037),G2037&gt;0),2032,"")</f>
        <v/>
      </c>
      <c r="B2038" s="4" t="str">
        <f>IF(A2038="","",IF('Loan Inputs'!$B$14=12,DATE(YEAR('Loan Inputs'!$B$8),MONTH('Loan Inputs'!$B$8)+A2038,DAY('Loan Inputs'!$B$8)),'Loan Inputs'!$B$8+A2038*IF('Loan Inputs'!$B$14=26,14,7)))</f>
        <v/>
      </c>
      <c r="C2038" s="2" t="str">
        <f t="shared" si="95"/>
        <v/>
      </c>
      <c r="D2038" s="2" t="str">
        <f>IF(A2038="","",MIN('Loan Inputs'!$B$17,C2038+E2038)+H2038)</f>
        <v/>
      </c>
      <c r="E2038" s="2" t="str">
        <f>IF(A2038="","",C2038*'Loan Inputs'!$B$15)</f>
        <v/>
      </c>
      <c r="F2038" s="2" t="str">
        <f t="shared" si="93"/>
        <v/>
      </c>
      <c r="G2038" s="2" t="str">
        <f t="shared" si="94"/>
        <v/>
      </c>
      <c r="H2038" s="2" t="str">
        <f>IF(A2038="","",MIN('Loan Inputs'!$B$18,MAX(0,C2038+E2038-'Loan Inputs'!$B$17)))</f>
        <v/>
      </c>
    </row>
    <row r="2039" spans="1:8" ht="22" customHeight="1">
      <c r="A2039" s="1" t="str">
        <f>IF(AND('Loan Inputs'!$B$12,2033&lt;=IF('Loan Inputs'!$B$12,'Loan Inputs'!$B$7,0)*'Loan Inputs'!$B$14+5*'Loan Inputs'!$B$14,ISNUMBER(G2038),G2038&gt;0),2033,"")</f>
        <v/>
      </c>
      <c r="B2039" s="4" t="str">
        <f>IF(A2039="","",IF('Loan Inputs'!$B$14=12,DATE(YEAR('Loan Inputs'!$B$8),MONTH('Loan Inputs'!$B$8)+A2039,DAY('Loan Inputs'!$B$8)),'Loan Inputs'!$B$8+A2039*IF('Loan Inputs'!$B$14=26,14,7)))</f>
        <v/>
      </c>
      <c r="C2039" s="2" t="str">
        <f t="shared" si="95"/>
        <v/>
      </c>
      <c r="D2039" s="2" t="str">
        <f>IF(A2039="","",MIN('Loan Inputs'!$B$17,C2039+E2039)+H2039)</f>
        <v/>
      </c>
      <c r="E2039" s="2" t="str">
        <f>IF(A2039="","",C2039*'Loan Inputs'!$B$15)</f>
        <v/>
      </c>
      <c r="F2039" s="2" t="str">
        <f t="shared" si="93"/>
        <v/>
      </c>
      <c r="G2039" s="2" t="str">
        <f t="shared" si="94"/>
        <v/>
      </c>
      <c r="H2039" s="2" t="str">
        <f>IF(A2039="","",MIN('Loan Inputs'!$B$18,MAX(0,C2039+E2039-'Loan Inputs'!$B$17)))</f>
        <v/>
      </c>
    </row>
    <row r="2040" spans="1:8" ht="22" customHeight="1">
      <c r="A2040" s="1" t="str">
        <f>IF(AND('Loan Inputs'!$B$12,2034&lt;=IF('Loan Inputs'!$B$12,'Loan Inputs'!$B$7,0)*'Loan Inputs'!$B$14+5*'Loan Inputs'!$B$14,ISNUMBER(G2039),G2039&gt;0),2034,"")</f>
        <v/>
      </c>
      <c r="B2040" s="4" t="str">
        <f>IF(A2040="","",IF('Loan Inputs'!$B$14=12,DATE(YEAR('Loan Inputs'!$B$8),MONTH('Loan Inputs'!$B$8)+A2040,DAY('Loan Inputs'!$B$8)),'Loan Inputs'!$B$8+A2040*IF('Loan Inputs'!$B$14=26,14,7)))</f>
        <v/>
      </c>
      <c r="C2040" s="2" t="str">
        <f t="shared" si="95"/>
        <v/>
      </c>
      <c r="D2040" s="2" t="str">
        <f>IF(A2040="","",MIN('Loan Inputs'!$B$17,C2040+E2040)+H2040)</f>
        <v/>
      </c>
      <c r="E2040" s="2" t="str">
        <f>IF(A2040="","",C2040*'Loan Inputs'!$B$15)</f>
        <v/>
      </c>
      <c r="F2040" s="2" t="str">
        <f t="shared" si="93"/>
        <v/>
      </c>
      <c r="G2040" s="2" t="str">
        <f t="shared" si="94"/>
        <v/>
      </c>
      <c r="H2040" s="2" t="str">
        <f>IF(A2040="","",MIN('Loan Inputs'!$B$18,MAX(0,C2040+E2040-'Loan Inputs'!$B$17)))</f>
        <v/>
      </c>
    </row>
    <row r="2041" spans="1:8" ht="22" customHeight="1">
      <c r="A2041" s="1" t="str">
        <f>IF(AND('Loan Inputs'!$B$12,2035&lt;=IF('Loan Inputs'!$B$12,'Loan Inputs'!$B$7,0)*'Loan Inputs'!$B$14+5*'Loan Inputs'!$B$14,ISNUMBER(G2040),G2040&gt;0),2035,"")</f>
        <v/>
      </c>
      <c r="B2041" s="4" t="str">
        <f>IF(A2041="","",IF('Loan Inputs'!$B$14=12,DATE(YEAR('Loan Inputs'!$B$8),MONTH('Loan Inputs'!$B$8)+A2041,DAY('Loan Inputs'!$B$8)),'Loan Inputs'!$B$8+A2041*IF('Loan Inputs'!$B$14=26,14,7)))</f>
        <v/>
      </c>
      <c r="C2041" s="2" t="str">
        <f t="shared" si="95"/>
        <v/>
      </c>
      <c r="D2041" s="2" t="str">
        <f>IF(A2041="","",MIN('Loan Inputs'!$B$17,C2041+E2041)+H2041)</f>
        <v/>
      </c>
      <c r="E2041" s="2" t="str">
        <f>IF(A2041="","",C2041*'Loan Inputs'!$B$15)</f>
        <v/>
      </c>
      <c r="F2041" s="2" t="str">
        <f t="shared" si="93"/>
        <v/>
      </c>
      <c r="G2041" s="2" t="str">
        <f t="shared" si="94"/>
        <v/>
      </c>
      <c r="H2041" s="2" t="str">
        <f>IF(A2041="","",MIN('Loan Inputs'!$B$18,MAX(0,C2041+E2041-'Loan Inputs'!$B$17)))</f>
        <v/>
      </c>
    </row>
    <row r="2042" spans="1:8" ht="22" customHeight="1">
      <c r="A2042" s="1" t="str">
        <f>IF(AND('Loan Inputs'!$B$12,2036&lt;=IF('Loan Inputs'!$B$12,'Loan Inputs'!$B$7,0)*'Loan Inputs'!$B$14+5*'Loan Inputs'!$B$14,ISNUMBER(G2041),G2041&gt;0),2036,"")</f>
        <v/>
      </c>
      <c r="B2042" s="4" t="str">
        <f>IF(A2042="","",IF('Loan Inputs'!$B$14=12,DATE(YEAR('Loan Inputs'!$B$8),MONTH('Loan Inputs'!$B$8)+A2042,DAY('Loan Inputs'!$B$8)),'Loan Inputs'!$B$8+A2042*IF('Loan Inputs'!$B$14=26,14,7)))</f>
        <v/>
      </c>
      <c r="C2042" s="2" t="str">
        <f t="shared" si="95"/>
        <v/>
      </c>
      <c r="D2042" s="2" t="str">
        <f>IF(A2042="","",MIN('Loan Inputs'!$B$17,C2042+E2042)+H2042)</f>
        <v/>
      </c>
      <c r="E2042" s="2" t="str">
        <f>IF(A2042="","",C2042*'Loan Inputs'!$B$15)</f>
        <v/>
      </c>
      <c r="F2042" s="2" t="str">
        <f t="shared" si="93"/>
        <v/>
      </c>
      <c r="G2042" s="2" t="str">
        <f t="shared" si="94"/>
        <v/>
      </c>
      <c r="H2042" s="2" t="str">
        <f>IF(A2042="","",MIN('Loan Inputs'!$B$18,MAX(0,C2042+E2042-'Loan Inputs'!$B$17)))</f>
        <v/>
      </c>
    </row>
    <row r="2043" spans="1:8" ht="22" customHeight="1">
      <c r="A2043" s="1" t="str">
        <f>IF(AND('Loan Inputs'!$B$12,2037&lt;=IF('Loan Inputs'!$B$12,'Loan Inputs'!$B$7,0)*'Loan Inputs'!$B$14+5*'Loan Inputs'!$B$14,ISNUMBER(G2042),G2042&gt;0),2037,"")</f>
        <v/>
      </c>
      <c r="B2043" s="4" t="str">
        <f>IF(A2043="","",IF('Loan Inputs'!$B$14=12,DATE(YEAR('Loan Inputs'!$B$8),MONTH('Loan Inputs'!$B$8)+A2043,DAY('Loan Inputs'!$B$8)),'Loan Inputs'!$B$8+A2043*IF('Loan Inputs'!$B$14=26,14,7)))</f>
        <v/>
      </c>
      <c r="C2043" s="2" t="str">
        <f t="shared" si="95"/>
        <v/>
      </c>
      <c r="D2043" s="2" t="str">
        <f>IF(A2043="","",MIN('Loan Inputs'!$B$17,C2043+E2043)+H2043)</f>
        <v/>
      </c>
      <c r="E2043" s="2" t="str">
        <f>IF(A2043="","",C2043*'Loan Inputs'!$B$15)</f>
        <v/>
      </c>
      <c r="F2043" s="2" t="str">
        <f t="shared" si="93"/>
        <v/>
      </c>
      <c r="G2043" s="2" t="str">
        <f t="shared" si="94"/>
        <v/>
      </c>
      <c r="H2043" s="2" t="str">
        <f>IF(A2043="","",MIN('Loan Inputs'!$B$18,MAX(0,C2043+E2043-'Loan Inputs'!$B$17)))</f>
        <v/>
      </c>
    </row>
    <row r="2044" spans="1:8" ht="22" customHeight="1">
      <c r="A2044" s="1" t="str">
        <f>IF(AND('Loan Inputs'!$B$12,2038&lt;=IF('Loan Inputs'!$B$12,'Loan Inputs'!$B$7,0)*'Loan Inputs'!$B$14+5*'Loan Inputs'!$B$14,ISNUMBER(G2043),G2043&gt;0),2038,"")</f>
        <v/>
      </c>
      <c r="B2044" s="4" t="str">
        <f>IF(A2044="","",IF('Loan Inputs'!$B$14=12,DATE(YEAR('Loan Inputs'!$B$8),MONTH('Loan Inputs'!$B$8)+A2044,DAY('Loan Inputs'!$B$8)),'Loan Inputs'!$B$8+A2044*IF('Loan Inputs'!$B$14=26,14,7)))</f>
        <v/>
      </c>
      <c r="C2044" s="2" t="str">
        <f t="shared" si="95"/>
        <v/>
      </c>
      <c r="D2044" s="2" t="str">
        <f>IF(A2044="","",MIN('Loan Inputs'!$B$17,C2044+E2044)+H2044)</f>
        <v/>
      </c>
      <c r="E2044" s="2" t="str">
        <f>IF(A2044="","",C2044*'Loan Inputs'!$B$15)</f>
        <v/>
      </c>
      <c r="F2044" s="2" t="str">
        <f t="shared" si="93"/>
        <v/>
      </c>
      <c r="G2044" s="2" t="str">
        <f t="shared" si="94"/>
        <v/>
      </c>
      <c r="H2044" s="2" t="str">
        <f>IF(A2044="","",MIN('Loan Inputs'!$B$18,MAX(0,C2044+E2044-'Loan Inputs'!$B$17)))</f>
        <v/>
      </c>
    </row>
    <row r="2045" spans="1:8" ht="22" customHeight="1">
      <c r="A2045" s="1" t="str">
        <f>IF(AND('Loan Inputs'!$B$12,2039&lt;=IF('Loan Inputs'!$B$12,'Loan Inputs'!$B$7,0)*'Loan Inputs'!$B$14+5*'Loan Inputs'!$B$14,ISNUMBER(G2044),G2044&gt;0),2039,"")</f>
        <v/>
      </c>
      <c r="B2045" s="4" t="str">
        <f>IF(A2045="","",IF('Loan Inputs'!$B$14=12,DATE(YEAR('Loan Inputs'!$B$8),MONTH('Loan Inputs'!$B$8)+A2045,DAY('Loan Inputs'!$B$8)),'Loan Inputs'!$B$8+A2045*IF('Loan Inputs'!$B$14=26,14,7)))</f>
        <v/>
      </c>
      <c r="C2045" s="2" t="str">
        <f t="shared" si="95"/>
        <v/>
      </c>
      <c r="D2045" s="2" t="str">
        <f>IF(A2045="","",MIN('Loan Inputs'!$B$17,C2045+E2045)+H2045)</f>
        <v/>
      </c>
      <c r="E2045" s="2" t="str">
        <f>IF(A2045="","",C2045*'Loan Inputs'!$B$15)</f>
        <v/>
      </c>
      <c r="F2045" s="2" t="str">
        <f t="shared" si="93"/>
        <v/>
      </c>
      <c r="G2045" s="2" t="str">
        <f t="shared" si="94"/>
        <v/>
      </c>
      <c r="H2045" s="2" t="str">
        <f>IF(A2045="","",MIN('Loan Inputs'!$B$18,MAX(0,C2045+E2045-'Loan Inputs'!$B$17)))</f>
        <v/>
      </c>
    </row>
    <row r="2046" spans="1:8" ht="22" customHeight="1">
      <c r="A2046" s="1" t="str">
        <f>IF(AND('Loan Inputs'!$B$12,2040&lt;=IF('Loan Inputs'!$B$12,'Loan Inputs'!$B$7,0)*'Loan Inputs'!$B$14+5*'Loan Inputs'!$B$14,ISNUMBER(G2045),G2045&gt;0),2040,"")</f>
        <v/>
      </c>
      <c r="B2046" s="4" t="str">
        <f>IF(A2046="","",IF('Loan Inputs'!$B$14=12,DATE(YEAR('Loan Inputs'!$B$8),MONTH('Loan Inputs'!$B$8)+A2046,DAY('Loan Inputs'!$B$8)),'Loan Inputs'!$B$8+A2046*IF('Loan Inputs'!$B$14=26,14,7)))</f>
        <v/>
      </c>
      <c r="C2046" s="2" t="str">
        <f t="shared" si="95"/>
        <v/>
      </c>
      <c r="D2046" s="2" t="str">
        <f>IF(A2046="","",MIN('Loan Inputs'!$B$17,C2046+E2046)+H2046)</f>
        <v/>
      </c>
      <c r="E2046" s="2" t="str">
        <f>IF(A2046="","",C2046*'Loan Inputs'!$B$15)</f>
        <v/>
      </c>
      <c r="F2046" s="2" t="str">
        <f t="shared" si="93"/>
        <v/>
      </c>
      <c r="G2046" s="2" t="str">
        <f t="shared" si="94"/>
        <v/>
      </c>
      <c r="H2046" s="2" t="str">
        <f>IF(A2046="","",MIN('Loan Inputs'!$B$18,MAX(0,C2046+E2046-'Loan Inputs'!$B$17)))</f>
        <v/>
      </c>
    </row>
    <row r="2047" spans="1:8" ht="22" customHeight="1">
      <c r="A2047" s="1" t="str">
        <f>IF(AND('Loan Inputs'!$B$12,2041&lt;=IF('Loan Inputs'!$B$12,'Loan Inputs'!$B$7,0)*'Loan Inputs'!$B$14+5*'Loan Inputs'!$B$14,ISNUMBER(G2046),G2046&gt;0),2041,"")</f>
        <v/>
      </c>
      <c r="B2047" s="4" t="str">
        <f>IF(A2047="","",IF('Loan Inputs'!$B$14=12,DATE(YEAR('Loan Inputs'!$B$8),MONTH('Loan Inputs'!$B$8)+A2047,DAY('Loan Inputs'!$B$8)),'Loan Inputs'!$B$8+A2047*IF('Loan Inputs'!$B$14=26,14,7)))</f>
        <v/>
      </c>
      <c r="C2047" s="2" t="str">
        <f t="shared" si="95"/>
        <v/>
      </c>
      <c r="D2047" s="2" t="str">
        <f>IF(A2047="","",MIN('Loan Inputs'!$B$17,C2047+E2047)+H2047)</f>
        <v/>
      </c>
      <c r="E2047" s="2" t="str">
        <f>IF(A2047="","",C2047*'Loan Inputs'!$B$15)</f>
        <v/>
      </c>
      <c r="F2047" s="2" t="str">
        <f t="shared" si="93"/>
        <v/>
      </c>
      <c r="G2047" s="2" t="str">
        <f t="shared" si="94"/>
        <v/>
      </c>
      <c r="H2047" s="2" t="str">
        <f>IF(A2047="","",MIN('Loan Inputs'!$B$18,MAX(0,C2047+E2047-'Loan Inputs'!$B$17)))</f>
        <v/>
      </c>
    </row>
    <row r="2048" spans="1:8" ht="22" customHeight="1">
      <c r="A2048" s="1" t="str">
        <f>IF(AND('Loan Inputs'!$B$12,2042&lt;=IF('Loan Inputs'!$B$12,'Loan Inputs'!$B$7,0)*'Loan Inputs'!$B$14+5*'Loan Inputs'!$B$14,ISNUMBER(G2047),G2047&gt;0),2042,"")</f>
        <v/>
      </c>
      <c r="B2048" s="4" t="str">
        <f>IF(A2048="","",IF('Loan Inputs'!$B$14=12,DATE(YEAR('Loan Inputs'!$B$8),MONTH('Loan Inputs'!$B$8)+A2048,DAY('Loan Inputs'!$B$8)),'Loan Inputs'!$B$8+A2048*IF('Loan Inputs'!$B$14=26,14,7)))</f>
        <v/>
      </c>
      <c r="C2048" s="2" t="str">
        <f t="shared" si="95"/>
        <v/>
      </c>
      <c r="D2048" s="2" t="str">
        <f>IF(A2048="","",MIN('Loan Inputs'!$B$17,C2048+E2048)+H2048)</f>
        <v/>
      </c>
      <c r="E2048" s="2" t="str">
        <f>IF(A2048="","",C2048*'Loan Inputs'!$B$15)</f>
        <v/>
      </c>
      <c r="F2048" s="2" t="str">
        <f t="shared" si="93"/>
        <v/>
      </c>
      <c r="G2048" s="2" t="str">
        <f t="shared" si="94"/>
        <v/>
      </c>
      <c r="H2048" s="2" t="str">
        <f>IF(A2048="","",MIN('Loan Inputs'!$B$18,MAX(0,C2048+E2048-'Loan Inputs'!$B$17)))</f>
        <v/>
      </c>
    </row>
    <row r="2049" spans="1:8" ht="22" customHeight="1">
      <c r="A2049" s="1" t="str">
        <f>IF(AND('Loan Inputs'!$B$12,2043&lt;=IF('Loan Inputs'!$B$12,'Loan Inputs'!$B$7,0)*'Loan Inputs'!$B$14+5*'Loan Inputs'!$B$14,ISNUMBER(G2048),G2048&gt;0),2043,"")</f>
        <v/>
      </c>
      <c r="B2049" s="4" t="str">
        <f>IF(A2049="","",IF('Loan Inputs'!$B$14=12,DATE(YEAR('Loan Inputs'!$B$8),MONTH('Loan Inputs'!$B$8)+A2049,DAY('Loan Inputs'!$B$8)),'Loan Inputs'!$B$8+A2049*IF('Loan Inputs'!$B$14=26,14,7)))</f>
        <v/>
      </c>
      <c r="C2049" s="2" t="str">
        <f t="shared" si="95"/>
        <v/>
      </c>
      <c r="D2049" s="2" t="str">
        <f>IF(A2049="","",MIN('Loan Inputs'!$B$17,C2049+E2049)+H2049)</f>
        <v/>
      </c>
      <c r="E2049" s="2" t="str">
        <f>IF(A2049="","",C2049*'Loan Inputs'!$B$15)</f>
        <v/>
      </c>
      <c r="F2049" s="2" t="str">
        <f t="shared" si="93"/>
        <v/>
      </c>
      <c r="G2049" s="2" t="str">
        <f t="shared" si="94"/>
        <v/>
      </c>
      <c r="H2049" s="2" t="str">
        <f>IF(A2049="","",MIN('Loan Inputs'!$B$18,MAX(0,C2049+E2049-'Loan Inputs'!$B$17)))</f>
        <v/>
      </c>
    </row>
    <row r="2050" spans="1:8" ht="22" customHeight="1">
      <c r="A2050" s="1" t="str">
        <f>IF(AND('Loan Inputs'!$B$12,2044&lt;=IF('Loan Inputs'!$B$12,'Loan Inputs'!$B$7,0)*'Loan Inputs'!$B$14+5*'Loan Inputs'!$B$14,ISNUMBER(G2049),G2049&gt;0),2044,"")</f>
        <v/>
      </c>
      <c r="B2050" s="4" t="str">
        <f>IF(A2050="","",IF('Loan Inputs'!$B$14=12,DATE(YEAR('Loan Inputs'!$B$8),MONTH('Loan Inputs'!$B$8)+A2050,DAY('Loan Inputs'!$B$8)),'Loan Inputs'!$B$8+A2050*IF('Loan Inputs'!$B$14=26,14,7)))</f>
        <v/>
      </c>
      <c r="C2050" s="2" t="str">
        <f t="shared" si="95"/>
        <v/>
      </c>
      <c r="D2050" s="2" t="str">
        <f>IF(A2050="","",MIN('Loan Inputs'!$B$17,C2050+E2050)+H2050)</f>
        <v/>
      </c>
      <c r="E2050" s="2" t="str">
        <f>IF(A2050="","",C2050*'Loan Inputs'!$B$15)</f>
        <v/>
      </c>
      <c r="F2050" s="2" t="str">
        <f t="shared" si="93"/>
        <v/>
      </c>
      <c r="G2050" s="2" t="str">
        <f t="shared" si="94"/>
        <v/>
      </c>
      <c r="H2050" s="2" t="str">
        <f>IF(A2050="","",MIN('Loan Inputs'!$B$18,MAX(0,C2050+E2050-'Loan Inputs'!$B$17)))</f>
        <v/>
      </c>
    </row>
    <row r="2051" spans="1:8" ht="22" customHeight="1">
      <c r="A2051" s="1" t="str">
        <f>IF(AND('Loan Inputs'!$B$12,2045&lt;=IF('Loan Inputs'!$B$12,'Loan Inputs'!$B$7,0)*'Loan Inputs'!$B$14+5*'Loan Inputs'!$B$14,ISNUMBER(G2050),G2050&gt;0),2045,"")</f>
        <v/>
      </c>
      <c r="B2051" s="4" t="str">
        <f>IF(A2051="","",IF('Loan Inputs'!$B$14=12,DATE(YEAR('Loan Inputs'!$B$8),MONTH('Loan Inputs'!$B$8)+A2051,DAY('Loan Inputs'!$B$8)),'Loan Inputs'!$B$8+A2051*IF('Loan Inputs'!$B$14=26,14,7)))</f>
        <v/>
      </c>
      <c r="C2051" s="2" t="str">
        <f t="shared" si="95"/>
        <v/>
      </c>
      <c r="D2051" s="2" t="str">
        <f>IF(A2051="","",MIN('Loan Inputs'!$B$17,C2051+E2051)+H2051)</f>
        <v/>
      </c>
      <c r="E2051" s="2" t="str">
        <f>IF(A2051="","",C2051*'Loan Inputs'!$B$15)</f>
        <v/>
      </c>
      <c r="F2051" s="2" t="str">
        <f t="shared" si="93"/>
        <v/>
      </c>
      <c r="G2051" s="2" t="str">
        <f t="shared" si="94"/>
        <v/>
      </c>
      <c r="H2051" s="2" t="str">
        <f>IF(A2051="","",MIN('Loan Inputs'!$B$18,MAX(0,C2051+E2051-'Loan Inputs'!$B$17)))</f>
        <v/>
      </c>
    </row>
    <row r="2052" spans="1:8" ht="22" customHeight="1">
      <c r="A2052" s="1" t="str">
        <f>IF(AND('Loan Inputs'!$B$12,2046&lt;=IF('Loan Inputs'!$B$12,'Loan Inputs'!$B$7,0)*'Loan Inputs'!$B$14+5*'Loan Inputs'!$B$14,ISNUMBER(G2051),G2051&gt;0),2046,"")</f>
        <v/>
      </c>
      <c r="B2052" s="4" t="str">
        <f>IF(A2052="","",IF('Loan Inputs'!$B$14=12,DATE(YEAR('Loan Inputs'!$B$8),MONTH('Loan Inputs'!$B$8)+A2052,DAY('Loan Inputs'!$B$8)),'Loan Inputs'!$B$8+A2052*IF('Loan Inputs'!$B$14=26,14,7)))</f>
        <v/>
      </c>
      <c r="C2052" s="2" t="str">
        <f t="shared" si="95"/>
        <v/>
      </c>
      <c r="D2052" s="2" t="str">
        <f>IF(A2052="","",MIN('Loan Inputs'!$B$17,C2052+E2052)+H2052)</f>
        <v/>
      </c>
      <c r="E2052" s="2" t="str">
        <f>IF(A2052="","",C2052*'Loan Inputs'!$B$15)</f>
        <v/>
      </c>
      <c r="F2052" s="2" t="str">
        <f t="shared" si="93"/>
        <v/>
      </c>
      <c r="G2052" s="2" t="str">
        <f t="shared" si="94"/>
        <v/>
      </c>
      <c r="H2052" s="2" t="str">
        <f>IF(A2052="","",MIN('Loan Inputs'!$B$18,MAX(0,C2052+E2052-'Loan Inputs'!$B$17)))</f>
        <v/>
      </c>
    </row>
    <row r="2053" spans="1:8" ht="22" customHeight="1">
      <c r="A2053" s="1" t="str">
        <f>IF(AND('Loan Inputs'!$B$12,2047&lt;=IF('Loan Inputs'!$B$12,'Loan Inputs'!$B$7,0)*'Loan Inputs'!$B$14+5*'Loan Inputs'!$B$14,ISNUMBER(G2052),G2052&gt;0),2047,"")</f>
        <v/>
      </c>
      <c r="B2053" s="4" t="str">
        <f>IF(A2053="","",IF('Loan Inputs'!$B$14=12,DATE(YEAR('Loan Inputs'!$B$8),MONTH('Loan Inputs'!$B$8)+A2053,DAY('Loan Inputs'!$B$8)),'Loan Inputs'!$B$8+A2053*IF('Loan Inputs'!$B$14=26,14,7)))</f>
        <v/>
      </c>
      <c r="C2053" s="2" t="str">
        <f t="shared" si="95"/>
        <v/>
      </c>
      <c r="D2053" s="2" t="str">
        <f>IF(A2053="","",MIN('Loan Inputs'!$B$17,C2053+E2053)+H2053)</f>
        <v/>
      </c>
      <c r="E2053" s="2" t="str">
        <f>IF(A2053="","",C2053*'Loan Inputs'!$B$15)</f>
        <v/>
      </c>
      <c r="F2053" s="2" t="str">
        <f t="shared" si="93"/>
        <v/>
      </c>
      <c r="G2053" s="2" t="str">
        <f t="shared" si="94"/>
        <v/>
      </c>
      <c r="H2053" s="2" t="str">
        <f>IF(A2053="","",MIN('Loan Inputs'!$B$18,MAX(0,C2053+E2053-'Loan Inputs'!$B$17)))</f>
        <v/>
      </c>
    </row>
    <row r="2054" spans="1:8" ht="22" customHeight="1">
      <c r="A2054" s="1" t="str">
        <f>IF(AND('Loan Inputs'!$B$12,2048&lt;=IF('Loan Inputs'!$B$12,'Loan Inputs'!$B$7,0)*'Loan Inputs'!$B$14+5*'Loan Inputs'!$B$14,ISNUMBER(G2053),G2053&gt;0),2048,"")</f>
        <v/>
      </c>
      <c r="B2054" s="4" t="str">
        <f>IF(A2054="","",IF('Loan Inputs'!$B$14=12,DATE(YEAR('Loan Inputs'!$B$8),MONTH('Loan Inputs'!$B$8)+A2054,DAY('Loan Inputs'!$B$8)),'Loan Inputs'!$B$8+A2054*IF('Loan Inputs'!$B$14=26,14,7)))</f>
        <v/>
      </c>
      <c r="C2054" s="2" t="str">
        <f t="shared" si="95"/>
        <v/>
      </c>
      <c r="D2054" s="2" t="str">
        <f>IF(A2054="","",MIN('Loan Inputs'!$B$17,C2054+E2054)+H2054)</f>
        <v/>
      </c>
      <c r="E2054" s="2" t="str">
        <f>IF(A2054="","",C2054*'Loan Inputs'!$B$15)</f>
        <v/>
      </c>
      <c r="F2054" s="2" t="str">
        <f t="shared" si="93"/>
        <v/>
      </c>
      <c r="G2054" s="2" t="str">
        <f t="shared" si="94"/>
        <v/>
      </c>
      <c r="H2054" s="2" t="str">
        <f>IF(A2054="","",MIN('Loan Inputs'!$B$18,MAX(0,C2054+E2054-'Loan Inputs'!$B$17)))</f>
        <v/>
      </c>
    </row>
    <row r="2055" spans="1:8" ht="22" customHeight="1">
      <c r="A2055" s="1" t="str">
        <f>IF(AND('Loan Inputs'!$B$12,2049&lt;=IF('Loan Inputs'!$B$12,'Loan Inputs'!$B$7,0)*'Loan Inputs'!$B$14+5*'Loan Inputs'!$B$14,ISNUMBER(G2054),G2054&gt;0),2049,"")</f>
        <v/>
      </c>
      <c r="B2055" s="4" t="str">
        <f>IF(A2055="","",IF('Loan Inputs'!$B$14=12,DATE(YEAR('Loan Inputs'!$B$8),MONTH('Loan Inputs'!$B$8)+A2055,DAY('Loan Inputs'!$B$8)),'Loan Inputs'!$B$8+A2055*IF('Loan Inputs'!$B$14=26,14,7)))</f>
        <v/>
      </c>
      <c r="C2055" s="2" t="str">
        <f t="shared" si="95"/>
        <v/>
      </c>
      <c r="D2055" s="2" t="str">
        <f>IF(A2055="","",MIN('Loan Inputs'!$B$17,C2055+E2055)+H2055)</f>
        <v/>
      </c>
      <c r="E2055" s="2" t="str">
        <f>IF(A2055="","",C2055*'Loan Inputs'!$B$15)</f>
        <v/>
      </c>
      <c r="F2055" s="2" t="str">
        <f t="shared" ref="F2055:F2086" si="96">IF(A2055="","",MIN(C2055,D2055-E2055))</f>
        <v/>
      </c>
      <c r="G2055" s="2" t="str">
        <f t="shared" ref="G2055:G2086" si="97">IF(A2055="","",IF(C2055-F2055&lt;0.0000001,0,MAX(0,C2055-F2055)))</f>
        <v/>
      </c>
      <c r="H2055" s="2" t="str">
        <f>IF(A2055="","",MIN('Loan Inputs'!$B$18,MAX(0,C2055+E2055-'Loan Inputs'!$B$17)))</f>
        <v/>
      </c>
    </row>
    <row r="2056" spans="1:8" ht="22" customHeight="1">
      <c r="A2056" s="1" t="str">
        <f>IF(AND('Loan Inputs'!$B$12,2050&lt;=IF('Loan Inputs'!$B$12,'Loan Inputs'!$B$7,0)*'Loan Inputs'!$B$14+5*'Loan Inputs'!$B$14,ISNUMBER(G2055),G2055&gt;0),2050,"")</f>
        <v/>
      </c>
      <c r="B2056" s="4" t="str">
        <f>IF(A2056="","",IF('Loan Inputs'!$B$14=12,DATE(YEAR('Loan Inputs'!$B$8),MONTH('Loan Inputs'!$B$8)+A2056,DAY('Loan Inputs'!$B$8)),'Loan Inputs'!$B$8+A2056*IF('Loan Inputs'!$B$14=26,14,7)))</f>
        <v/>
      </c>
      <c r="C2056" s="2" t="str">
        <f t="shared" ref="C2056:C2086" si="98">IF(A2056="","",G2055)</f>
        <v/>
      </c>
      <c r="D2056" s="2" t="str">
        <f>IF(A2056="","",MIN('Loan Inputs'!$B$17,C2056+E2056)+H2056)</f>
        <v/>
      </c>
      <c r="E2056" s="2" t="str">
        <f>IF(A2056="","",C2056*'Loan Inputs'!$B$15)</f>
        <v/>
      </c>
      <c r="F2056" s="2" t="str">
        <f t="shared" si="96"/>
        <v/>
      </c>
      <c r="G2056" s="2" t="str">
        <f t="shared" si="97"/>
        <v/>
      </c>
      <c r="H2056" s="2" t="str">
        <f>IF(A2056="","",MIN('Loan Inputs'!$B$18,MAX(0,C2056+E2056-'Loan Inputs'!$B$17)))</f>
        <v/>
      </c>
    </row>
    <row r="2057" spans="1:8" ht="22" customHeight="1">
      <c r="A2057" s="1" t="str">
        <f>IF(AND('Loan Inputs'!$B$12,2051&lt;=IF('Loan Inputs'!$B$12,'Loan Inputs'!$B$7,0)*'Loan Inputs'!$B$14+5*'Loan Inputs'!$B$14,ISNUMBER(G2056),G2056&gt;0),2051,"")</f>
        <v/>
      </c>
      <c r="B2057" s="4" t="str">
        <f>IF(A2057="","",IF('Loan Inputs'!$B$14=12,DATE(YEAR('Loan Inputs'!$B$8),MONTH('Loan Inputs'!$B$8)+A2057,DAY('Loan Inputs'!$B$8)),'Loan Inputs'!$B$8+A2057*IF('Loan Inputs'!$B$14=26,14,7)))</f>
        <v/>
      </c>
      <c r="C2057" s="2" t="str">
        <f t="shared" si="98"/>
        <v/>
      </c>
      <c r="D2057" s="2" t="str">
        <f>IF(A2057="","",MIN('Loan Inputs'!$B$17,C2057+E2057)+H2057)</f>
        <v/>
      </c>
      <c r="E2057" s="2" t="str">
        <f>IF(A2057="","",C2057*'Loan Inputs'!$B$15)</f>
        <v/>
      </c>
      <c r="F2057" s="2" t="str">
        <f t="shared" si="96"/>
        <v/>
      </c>
      <c r="G2057" s="2" t="str">
        <f t="shared" si="97"/>
        <v/>
      </c>
      <c r="H2057" s="2" t="str">
        <f>IF(A2057="","",MIN('Loan Inputs'!$B$18,MAX(0,C2057+E2057-'Loan Inputs'!$B$17)))</f>
        <v/>
      </c>
    </row>
    <row r="2058" spans="1:8" ht="22" customHeight="1">
      <c r="A2058" s="1" t="str">
        <f>IF(AND('Loan Inputs'!$B$12,2052&lt;=IF('Loan Inputs'!$B$12,'Loan Inputs'!$B$7,0)*'Loan Inputs'!$B$14+5*'Loan Inputs'!$B$14,ISNUMBER(G2057),G2057&gt;0),2052,"")</f>
        <v/>
      </c>
      <c r="B2058" s="4" t="str">
        <f>IF(A2058="","",IF('Loan Inputs'!$B$14=12,DATE(YEAR('Loan Inputs'!$B$8),MONTH('Loan Inputs'!$B$8)+A2058,DAY('Loan Inputs'!$B$8)),'Loan Inputs'!$B$8+A2058*IF('Loan Inputs'!$B$14=26,14,7)))</f>
        <v/>
      </c>
      <c r="C2058" s="2" t="str">
        <f t="shared" si="98"/>
        <v/>
      </c>
      <c r="D2058" s="2" t="str">
        <f>IF(A2058="","",MIN('Loan Inputs'!$B$17,C2058+E2058)+H2058)</f>
        <v/>
      </c>
      <c r="E2058" s="2" t="str">
        <f>IF(A2058="","",C2058*'Loan Inputs'!$B$15)</f>
        <v/>
      </c>
      <c r="F2058" s="2" t="str">
        <f t="shared" si="96"/>
        <v/>
      </c>
      <c r="G2058" s="2" t="str">
        <f t="shared" si="97"/>
        <v/>
      </c>
      <c r="H2058" s="2" t="str">
        <f>IF(A2058="","",MIN('Loan Inputs'!$B$18,MAX(0,C2058+E2058-'Loan Inputs'!$B$17)))</f>
        <v/>
      </c>
    </row>
    <row r="2059" spans="1:8" ht="22" customHeight="1">
      <c r="A2059" s="1" t="str">
        <f>IF(AND('Loan Inputs'!$B$12,2053&lt;=IF('Loan Inputs'!$B$12,'Loan Inputs'!$B$7,0)*'Loan Inputs'!$B$14+5*'Loan Inputs'!$B$14,ISNUMBER(G2058),G2058&gt;0),2053,"")</f>
        <v/>
      </c>
      <c r="B2059" s="4" t="str">
        <f>IF(A2059="","",IF('Loan Inputs'!$B$14=12,DATE(YEAR('Loan Inputs'!$B$8),MONTH('Loan Inputs'!$B$8)+A2059,DAY('Loan Inputs'!$B$8)),'Loan Inputs'!$B$8+A2059*IF('Loan Inputs'!$B$14=26,14,7)))</f>
        <v/>
      </c>
      <c r="C2059" s="2" t="str">
        <f t="shared" si="98"/>
        <v/>
      </c>
      <c r="D2059" s="2" t="str">
        <f>IF(A2059="","",MIN('Loan Inputs'!$B$17,C2059+E2059)+H2059)</f>
        <v/>
      </c>
      <c r="E2059" s="2" t="str">
        <f>IF(A2059="","",C2059*'Loan Inputs'!$B$15)</f>
        <v/>
      </c>
      <c r="F2059" s="2" t="str">
        <f t="shared" si="96"/>
        <v/>
      </c>
      <c r="G2059" s="2" t="str">
        <f t="shared" si="97"/>
        <v/>
      </c>
      <c r="H2059" s="2" t="str">
        <f>IF(A2059="","",MIN('Loan Inputs'!$B$18,MAX(0,C2059+E2059-'Loan Inputs'!$B$17)))</f>
        <v/>
      </c>
    </row>
    <row r="2060" spans="1:8" ht="22" customHeight="1">
      <c r="A2060" s="1" t="str">
        <f>IF(AND('Loan Inputs'!$B$12,2054&lt;=IF('Loan Inputs'!$B$12,'Loan Inputs'!$B$7,0)*'Loan Inputs'!$B$14+5*'Loan Inputs'!$B$14,ISNUMBER(G2059),G2059&gt;0),2054,"")</f>
        <v/>
      </c>
      <c r="B2060" s="4" t="str">
        <f>IF(A2060="","",IF('Loan Inputs'!$B$14=12,DATE(YEAR('Loan Inputs'!$B$8),MONTH('Loan Inputs'!$B$8)+A2060,DAY('Loan Inputs'!$B$8)),'Loan Inputs'!$B$8+A2060*IF('Loan Inputs'!$B$14=26,14,7)))</f>
        <v/>
      </c>
      <c r="C2060" s="2" t="str">
        <f t="shared" si="98"/>
        <v/>
      </c>
      <c r="D2060" s="2" t="str">
        <f>IF(A2060="","",MIN('Loan Inputs'!$B$17,C2060+E2060)+H2060)</f>
        <v/>
      </c>
      <c r="E2060" s="2" t="str">
        <f>IF(A2060="","",C2060*'Loan Inputs'!$B$15)</f>
        <v/>
      </c>
      <c r="F2060" s="2" t="str">
        <f t="shared" si="96"/>
        <v/>
      </c>
      <c r="G2060" s="2" t="str">
        <f t="shared" si="97"/>
        <v/>
      </c>
      <c r="H2060" s="2" t="str">
        <f>IF(A2060="","",MIN('Loan Inputs'!$B$18,MAX(0,C2060+E2060-'Loan Inputs'!$B$17)))</f>
        <v/>
      </c>
    </row>
    <row r="2061" spans="1:8" ht="22" customHeight="1">
      <c r="A2061" s="1" t="str">
        <f>IF(AND('Loan Inputs'!$B$12,2055&lt;=IF('Loan Inputs'!$B$12,'Loan Inputs'!$B$7,0)*'Loan Inputs'!$B$14+5*'Loan Inputs'!$B$14,ISNUMBER(G2060),G2060&gt;0),2055,"")</f>
        <v/>
      </c>
      <c r="B2061" s="4" t="str">
        <f>IF(A2061="","",IF('Loan Inputs'!$B$14=12,DATE(YEAR('Loan Inputs'!$B$8),MONTH('Loan Inputs'!$B$8)+A2061,DAY('Loan Inputs'!$B$8)),'Loan Inputs'!$B$8+A2061*IF('Loan Inputs'!$B$14=26,14,7)))</f>
        <v/>
      </c>
      <c r="C2061" s="2" t="str">
        <f t="shared" si="98"/>
        <v/>
      </c>
      <c r="D2061" s="2" t="str">
        <f>IF(A2061="","",MIN('Loan Inputs'!$B$17,C2061+E2061)+H2061)</f>
        <v/>
      </c>
      <c r="E2061" s="2" t="str">
        <f>IF(A2061="","",C2061*'Loan Inputs'!$B$15)</f>
        <v/>
      </c>
      <c r="F2061" s="2" t="str">
        <f t="shared" si="96"/>
        <v/>
      </c>
      <c r="G2061" s="2" t="str">
        <f t="shared" si="97"/>
        <v/>
      </c>
      <c r="H2061" s="2" t="str">
        <f>IF(A2061="","",MIN('Loan Inputs'!$B$18,MAX(0,C2061+E2061-'Loan Inputs'!$B$17)))</f>
        <v/>
      </c>
    </row>
    <row r="2062" spans="1:8" ht="22" customHeight="1">
      <c r="A2062" s="1" t="str">
        <f>IF(AND('Loan Inputs'!$B$12,2056&lt;=IF('Loan Inputs'!$B$12,'Loan Inputs'!$B$7,0)*'Loan Inputs'!$B$14+5*'Loan Inputs'!$B$14,ISNUMBER(G2061),G2061&gt;0),2056,"")</f>
        <v/>
      </c>
      <c r="B2062" s="4" t="str">
        <f>IF(A2062="","",IF('Loan Inputs'!$B$14=12,DATE(YEAR('Loan Inputs'!$B$8),MONTH('Loan Inputs'!$B$8)+A2062,DAY('Loan Inputs'!$B$8)),'Loan Inputs'!$B$8+A2062*IF('Loan Inputs'!$B$14=26,14,7)))</f>
        <v/>
      </c>
      <c r="C2062" s="2" t="str">
        <f t="shared" si="98"/>
        <v/>
      </c>
      <c r="D2062" s="2" t="str">
        <f>IF(A2062="","",MIN('Loan Inputs'!$B$17,C2062+E2062)+H2062)</f>
        <v/>
      </c>
      <c r="E2062" s="2" t="str">
        <f>IF(A2062="","",C2062*'Loan Inputs'!$B$15)</f>
        <v/>
      </c>
      <c r="F2062" s="2" t="str">
        <f t="shared" si="96"/>
        <v/>
      </c>
      <c r="G2062" s="2" t="str">
        <f t="shared" si="97"/>
        <v/>
      </c>
      <c r="H2062" s="2" t="str">
        <f>IF(A2062="","",MIN('Loan Inputs'!$B$18,MAX(0,C2062+E2062-'Loan Inputs'!$B$17)))</f>
        <v/>
      </c>
    </row>
    <row r="2063" spans="1:8" ht="22" customHeight="1">
      <c r="A2063" s="1" t="str">
        <f>IF(AND('Loan Inputs'!$B$12,2057&lt;=IF('Loan Inputs'!$B$12,'Loan Inputs'!$B$7,0)*'Loan Inputs'!$B$14+5*'Loan Inputs'!$B$14,ISNUMBER(G2062),G2062&gt;0),2057,"")</f>
        <v/>
      </c>
      <c r="B2063" s="4" t="str">
        <f>IF(A2063="","",IF('Loan Inputs'!$B$14=12,DATE(YEAR('Loan Inputs'!$B$8),MONTH('Loan Inputs'!$B$8)+A2063,DAY('Loan Inputs'!$B$8)),'Loan Inputs'!$B$8+A2063*IF('Loan Inputs'!$B$14=26,14,7)))</f>
        <v/>
      </c>
      <c r="C2063" s="2" t="str">
        <f t="shared" si="98"/>
        <v/>
      </c>
      <c r="D2063" s="2" t="str">
        <f>IF(A2063="","",MIN('Loan Inputs'!$B$17,C2063+E2063)+H2063)</f>
        <v/>
      </c>
      <c r="E2063" s="2" t="str">
        <f>IF(A2063="","",C2063*'Loan Inputs'!$B$15)</f>
        <v/>
      </c>
      <c r="F2063" s="2" t="str">
        <f t="shared" si="96"/>
        <v/>
      </c>
      <c r="G2063" s="2" t="str">
        <f t="shared" si="97"/>
        <v/>
      </c>
      <c r="H2063" s="2" t="str">
        <f>IF(A2063="","",MIN('Loan Inputs'!$B$18,MAX(0,C2063+E2063-'Loan Inputs'!$B$17)))</f>
        <v/>
      </c>
    </row>
    <row r="2064" spans="1:8" ht="22" customHeight="1">
      <c r="A2064" s="1" t="str">
        <f>IF(AND('Loan Inputs'!$B$12,2058&lt;=IF('Loan Inputs'!$B$12,'Loan Inputs'!$B$7,0)*'Loan Inputs'!$B$14+5*'Loan Inputs'!$B$14,ISNUMBER(G2063),G2063&gt;0),2058,"")</f>
        <v/>
      </c>
      <c r="B2064" s="4" t="str">
        <f>IF(A2064="","",IF('Loan Inputs'!$B$14=12,DATE(YEAR('Loan Inputs'!$B$8),MONTH('Loan Inputs'!$B$8)+A2064,DAY('Loan Inputs'!$B$8)),'Loan Inputs'!$B$8+A2064*IF('Loan Inputs'!$B$14=26,14,7)))</f>
        <v/>
      </c>
      <c r="C2064" s="2" t="str">
        <f t="shared" si="98"/>
        <v/>
      </c>
      <c r="D2064" s="2" t="str">
        <f>IF(A2064="","",MIN('Loan Inputs'!$B$17,C2064+E2064)+H2064)</f>
        <v/>
      </c>
      <c r="E2064" s="2" t="str">
        <f>IF(A2064="","",C2064*'Loan Inputs'!$B$15)</f>
        <v/>
      </c>
      <c r="F2064" s="2" t="str">
        <f t="shared" si="96"/>
        <v/>
      </c>
      <c r="G2064" s="2" t="str">
        <f t="shared" si="97"/>
        <v/>
      </c>
      <c r="H2064" s="2" t="str">
        <f>IF(A2064="","",MIN('Loan Inputs'!$B$18,MAX(0,C2064+E2064-'Loan Inputs'!$B$17)))</f>
        <v/>
      </c>
    </row>
    <row r="2065" spans="1:8" ht="22" customHeight="1">
      <c r="A2065" s="1" t="str">
        <f>IF(AND('Loan Inputs'!$B$12,2059&lt;=IF('Loan Inputs'!$B$12,'Loan Inputs'!$B$7,0)*'Loan Inputs'!$B$14+5*'Loan Inputs'!$B$14,ISNUMBER(G2064),G2064&gt;0),2059,"")</f>
        <v/>
      </c>
      <c r="B2065" s="4" t="str">
        <f>IF(A2065="","",IF('Loan Inputs'!$B$14=12,DATE(YEAR('Loan Inputs'!$B$8),MONTH('Loan Inputs'!$B$8)+A2065,DAY('Loan Inputs'!$B$8)),'Loan Inputs'!$B$8+A2065*IF('Loan Inputs'!$B$14=26,14,7)))</f>
        <v/>
      </c>
      <c r="C2065" s="2" t="str">
        <f t="shared" si="98"/>
        <v/>
      </c>
      <c r="D2065" s="2" t="str">
        <f>IF(A2065="","",MIN('Loan Inputs'!$B$17,C2065+E2065)+H2065)</f>
        <v/>
      </c>
      <c r="E2065" s="2" t="str">
        <f>IF(A2065="","",C2065*'Loan Inputs'!$B$15)</f>
        <v/>
      </c>
      <c r="F2065" s="2" t="str">
        <f t="shared" si="96"/>
        <v/>
      </c>
      <c r="G2065" s="2" t="str">
        <f t="shared" si="97"/>
        <v/>
      </c>
      <c r="H2065" s="2" t="str">
        <f>IF(A2065="","",MIN('Loan Inputs'!$B$18,MAX(0,C2065+E2065-'Loan Inputs'!$B$17)))</f>
        <v/>
      </c>
    </row>
    <row r="2066" spans="1:8" ht="22" customHeight="1">
      <c r="A2066" s="1" t="str">
        <f>IF(AND('Loan Inputs'!$B$12,2060&lt;=IF('Loan Inputs'!$B$12,'Loan Inputs'!$B$7,0)*'Loan Inputs'!$B$14+5*'Loan Inputs'!$B$14,ISNUMBER(G2065),G2065&gt;0),2060,"")</f>
        <v/>
      </c>
      <c r="B2066" s="4" t="str">
        <f>IF(A2066="","",IF('Loan Inputs'!$B$14=12,DATE(YEAR('Loan Inputs'!$B$8),MONTH('Loan Inputs'!$B$8)+A2066,DAY('Loan Inputs'!$B$8)),'Loan Inputs'!$B$8+A2066*IF('Loan Inputs'!$B$14=26,14,7)))</f>
        <v/>
      </c>
      <c r="C2066" s="2" t="str">
        <f t="shared" si="98"/>
        <v/>
      </c>
      <c r="D2066" s="2" t="str">
        <f>IF(A2066="","",MIN('Loan Inputs'!$B$17,C2066+E2066)+H2066)</f>
        <v/>
      </c>
      <c r="E2066" s="2" t="str">
        <f>IF(A2066="","",C2066*'Loan Inputs'!$B$15)</f>
        <v/>
      </c>
      <c r="F2066" s="2" t="str">
        <f t="shared" si="96"/>
        <v/>
      </c>
      <c r="G2066" s="2" t="str">
        <f t="shared" si="97"/>
        <v/>
      </c>
      <c r="H2066" s="2" t="str">
        <f>IF(A2066="","",MIN('Loan Inputs'!$B$18,MAX(0,C2066+E2066-'Loan Inputs'!$B$17)))</f>
        <v/>
      </c>
    </row>
    <row r="2067" spans="1:8" ht="22" customHeight="1">
      <c r="A2067" s="1" t="str">
        <f>IF(AND('Loan Inputs'!$B$12,2061&lt;=IF('Loan Inputs'!$B$12,'Loan Inputs'!$B$7,0)*'Loan Inputs'!$B$14+5*'Loan Inputs'!$B$14,ISNUMBER(G2066),G2066&gt;0),2061,"")</f>
        <v/>
      </c>
      <c r="B2067" s="4" t="str">
        <f>IF(A2067="","",IF('Loan Inputs'!$B$14=12,DATE(YEAR('Loan Inputs'!$B$8),MONTH('Loan Inputs'!$B$8)+A2067,DAY('Loan Inputs'!$B$8)),'Loan Inputs'!$B$8+A2067*IF('Loan Inputs'!$B$14=26,14,7)))</f>
        <v/>
      </c>
      <c r="C2067" s="2" t="str">
        <f t="shared" si="98"/>
        <v/>
      </c>
      <c r="D2067" s="2" t="str">
        <f>IF(A2067="","",MIN('Loan Inputs'!$B$17,C2067+E2067)+H2067)</f>
        <v/>
      </c>
      <c r="E2067" s="2" t="str">
        <f>IF(A2067="","",C2067*'Loan Inputs'!$B$15)</f>
        <v/>
      </c>
      <c r="F2067" s="2" t="str">
        <f t="shared" si="96"/>
        <v/>
      </c>
      <c r="G2067" s="2" t="str">
        <f t="shared" si="97"/>
        <v/>
      </c>
      <c r="H2067" s="2" t="str">
        <f>IF(A2067="","",MIN('Loan Inputs'!$B$18,MAX(0,C2067+E2067-'Loan Inputs'!$B$17)))</f>
        <v/>
      </c>
    </row>
    <row r="2068" spans="1:8" ht="22" customHeight="1">
      <c r="A2068" s="1" t="str">
        <f>IF(AND('Loan Inputs'!$B$12,2062&lt;=IF('Loan Inputs'!$B$12,'Loan Inputs'!$B$7,0)*'Loan Inputs'!$B$14+5*'Loan Inputs'!$B$14,ISNUMBER(G2067),G2067&gt;0),2062,"")</f>
        <v/>
      </c>
      <c r="B2068" s="4" t="str">
        <f>IF(A2068="","",IF('Loan Inputs'!$B$14=12,DATE(YEAR('Loan Inputs'!$B$8),MONTH('Loan Inputs'!$B$8)+A2068,DAY('Loan Inputs'!$B$8)),'Loan Inputs'!$B$8+A2068*IF('Loan Inputs'!$B$14=26,14,7)))</f>
        <v/>
      </c>
      <c r="C2068" s="2" t="str">
        <f t="shared" si="98"/>
        <v/>
      </c>
      <c r="D2068" s="2" t="str">
        <f>IF(A2068="","",MIN('Loan Inputs'!$B$17,C2068+E2068)+H2068)</f>
        <v/>
      </c>
      <c r="E2068" s="2" t="str">
        <f>IF(A2068="","",C2068*'Loan Inputs'!$B$15)</f>
        <v/>
      </c>
      <c r="F2068" s="2" t="str">
        <f t="shared" si="96"/>
        <v/>
      </c>
      <c r="G2068" s="2" t="str">
        <f t="shared" si="97"/>
        <v/>
      </c>
      <c r="H2068" s="2" t="str">
        <f>IF(A2068="","",MIN('Loan Inputs'!$B$18,MAX(0,C2068+E2068-'Loan Inputs'!$B$17)))</f>
        <v/>
      </c>
    </row>
    <row r="2069" spans="1:8" ht="22" customHeight="1">
      <c r="A2069" s="1" t="str">
        <f>IF(AND('Loan Inputs'!$B$12,2063&lt;=IF('Loan Inputs'!$B$12,'Loan Inputs'!$B$7,0)*'Loan Inputs'!$B$14+5*'Loan Inputs'!$B$14,ISNUMBER(G2068),G2068&gt;0),2063,"")</f>
        <v/>
      </c>
      <c r="B2069" s="4" t="str">
        <f>IF(A2069="","",IF('Loan Inputs'!$B$14=12,DATE(YEAR('Loan Inputs'!$B$8),MONTH('Loan Inputs'!$B$8)+A2069,DAY('Loan Inputs'!$B$8)),'Loan Inputs'!$B$8+A2069*IF('Loan Inputs'!$B$14=26,14,7)))</f>
        <v/>
      </c>
      <c r="C2069" s="2" t="str">
        <f t="shared" si="98"/>
        <v/>
      </c>
      <c r="D2069" s="2" t="str">
        <f>IF(A2069="","",MIN('Loan Inputs'!$B$17,C2069+E2069)+H2069)</f>
        <v/>
      </c>
      <c r="E2069" s="2" t="str">
        <f>IF(A2069="","",C2069*'Loan Inputs'!$B$15)</f>
        <v/>
      </c>
      <c r="F2069" s="2" t="str">
        <f t="shared" si="96"/>
        <v/>
      </c>
      <c r="G2069" s="2" t="str">
        <f t="shared" si="97"/>
        <v/>
      </c>
      <c r="H2069" s="2" t="str">
        <f>IF(A2069="","",MIN('Loan Inputs'!$B$18,MAX(0,C2069+E2069-'Loan Inputs'!$B$17)))</f>
        <v/>
      </c>
    </row>
    <row r="2070" spans="1:8" ht="22" customHeight="1">
      <c r="A2070" s="1" t="str">
        <f>IF(AND('Loan Inputs'!$B$12,2064&lt;=IF('Loan Inputs'!$B$12,'Loan Inputs'!$B$7,0)*'Loan Inputs'!$B$14+5*'Loan Inputs'!$B$14,ISNUMBER(G2069),G2069&gt;0),2064,"")</f>
        <v/>
      </c>
      <c r="B2070" s="4" t="str">
        <f>IF(A2070="","",IF('Loan Inputs'!$B$14=12,DATE(YEAR('Loan Inputs'!$B$8),MONTH('Loan Inputs'!$B$8)+A2070,DAY('Loan Inputs'!$B$8)),'Loan Inputs'!$B$8+A2070*IF('Loan Inputs'!$B$14=26,14,7)))</f>
        <v/>
      </c>
      <c r="C2070" s="2" t="str">
        <f t="shared" si="98"/>
        <v/>
      </c>
      <c r="D2070" s="2" t="str">
        <f>IF(A2070="","",MIN('Loan Inputs'!$B$17,C2070+E2070)+H2070)</f>
        <v/>
      </c>
      <c r="E2070" s="2" t="str">
        <f>IF(A2070="","",C2070*'Loan Inputs'!$B$15)</f>
        <v/>
      </c>
      <c r="F2070" s="2" t="str">
        <f t="shared" si="96"/>
        <v/>
      </c>
      <c r="G2070" s="2" t="str">
        <f t="shared" si="97"/>
        <v/>
      </c>
      <c r="H2070" s="2" t="str">
        <f>IF(A2070="","",MIN('Loan Inputs'!$B$18,MAX(0,C2070+E2070-'Loan Inputs'!$B$17)))</f>
        <v/>
      </c>
    </row>
    <row r="2071" spans="1:8" ht="22" customHeight="1">
      <c r="A2071" s="1" t="str">
        <f>IF(AND('Loan Inputs'!$B$12,2065&lt;=IF('Loan Inputs'!$B$12,'Loan Inputs'!$B$7,0)*'Loan Inputs'!$B$14+5*'Loan Inputs'!$B$14,ISNUMBER(G2070),G2070&gt;0),2065,"")</f>
        <v/>
      </c>
      <c r="B2071" s="4" t="str">
        <f>IF(A2071="","",IF('Loan Inputs'!$B$14=12,DATE(YEAR('Loan Inputs'!$B$8),MONTH('Loan Inputs'!$B$8)+A2071,DAY('Loan Inputs'!$B$8)),'Loan Inputs'!$B$8+A2071*IF('Loan Inputs'!$B$14=26,14,7)))</f>
        <v/>
      </c>
      <c r="C2071" s="2" t="str">
        <f t="shared" si="98"/>
        <v/>
      </c>
      <c r="D2071" s="2" t="str">
        <f>IF(A2071="","",MIN('Loan Inputs'!$B$17,C2071+E2071)+H2071)</f>
        <v/>
      </c>
      <c r="E2071" s="2" t="str">
        <f>IF(A2071="","",C2071*'Loan Inputs'!$B$15)</f>
        <v/>
      </c>
      <c r="F2071" s="2" t="str">
        <f t="shared" si="96"/>
        <v/>
      </c>
      <c r="G2071" s="2" t="str">
        <f t="shared" si="97"/>
        <v/>
      </c>
      <c r="H2071" s="2" t="str">
        <f>IF(A2071="","",MIN('Loan Inputs'!$B$18,MAX(0,C2071+E2071-'Loan Inputs'!$B$17)))</f>
        <v/>
      </c>
    </row>
    <row r="2072" spans="1:8" ht="22" customHeight="1">
      <c r="A2072" s="1" t="str">
        <f>IF(AND('Loan Inputs'!$B$12,2066&lt;=IF('Loan Inputs'!$B$12,'Loan Inputs'!$B$7,0)*'Loan Inputs'!$B$14+5*'Loan Inputs'!$B$14,ISNUMBER(G2071),G2071&gt;0),2066,"")</f>
        <v/>
      </c>
      <c r="B2072" s="4" t="str">
        <f>IF(A2072="","",IF('Loan Inputs'!$B$14=12,DATE(YEAR('Loan Inputs'!$B$8),MONTH('Loan Inputs'!$B$8)+A2072,DAY('Loan Inputs'!$B$8)),'Loan Inputs'!$B$8+A2072*IF('Loan Inputs'!$B$14=26,14,7)))</f>
        <v/>
      </c>
      <c r="C2072" s="2" t="str">
        <f t="shared" si="98"/>
        <v/>
      </c>
      <c r="D2072" s="2" t="str">
        <f>IF(A2072="","",MIN('Loan Inputs'!$B$17,C2072+E2072)+H2072)</f>
        <v/>
      </c>
      <c r="E2072" s="2" t="str">
        <f>IF(A2072="","",C2072*'Loan Inputs'!$B$15)</f>
        <v/>
      </c>
      <c r="F2072" s="2" t="str">
        <f t="shared" si="96"/>
        <v/>
      </c>
      <c r="G2072" s="2" t="str">
        <f t="shared" si="97"/>
        <v/>
      </c>
      <c r="H2072" s="2" t="str">
        <f>IF(A2072="","",MIN('Loan Inputs'!$B$18,MAX(0,C2072+E2072-'Loan Inputs'!$B$17)))</f>
        <v/>
      </c>
    </row>
    <row r="2073" spans="1:8" ht="22" customHeight="1">
      <c r="A2073" s="1" t="str">
        <f>IF(AND('Loan Inputs'!$B$12,2067&lt;=IF('Loan Inputs'!$B$12,'Loan Inputs'!$B$7,0)*'Loan Inputs'!$B$14+5*'Loan Inputs'!$B$14,ISNUMBER(G2072),G2072&gt;0),2067,"")</f>
        <v/>
      </c>
      <c r="B2073" s="4" t="str">
        <f>IF(A2073="","",IF('Loan Inputs'!$B$14=12,DATE(YEAR('Loan Inputs'!$B$8),MONTH('Loan Inputs'!$B$8)+A2073,DAY('Loan Inputs'!$B$8)),'Loan Inputs'!$B$8+A2073*IF('Loan Inputs'!$B$14=26,14,7)))</f>
        <v/>
      </c>
      <c r="C2073" s="2" t="str">
        <f t="shared" si="98"/>
        <v/>
      </c>
      <c r="D2073" s="2" t="str">
        <f>IF(A2073="","",MIN('Loan Inputs'!$B$17,C2073+E2073)+H2073)</f>
        <v/>
      </c>
      <c r="E2073" s="2" t="str">
        <f>IF(A2073="","",C2073*'Loan Inputs'!$B$15)</f>
        <v/>
      </c>
      <c r="F2073" s="2" t="str">
        <f t="shared" si="96"/>
        <v/>
      </c>
      <c r="G2073" s="2" t="str">
        <f t="shared" si="97"/>
        <v/>
      </c>
      <c r="H2073" s="2" t="str">
        <f>IF(A2073="","",MIN('Loan Inputs'!$B$18,MAX(0,C2073+E2073-'Loan Inputs'!$B$17)))</f>
        <v/>
      </c>
    </row>
    <row r="2074" spans="1:8" ht="22" customHeight="1">
      <c r="A2074" s="1" t="str">
        <f>IF(AND('Loan Inputs'!$B$12,2068&lt;=IF('Loan Inputs'!$B$12,'Loan Inputs'!$B$7,0)*'Loan Inputs'!$B$14+5*'Loan Inputs'!$B$14,ISNUMBER(G2073),G2073&gt;0),2068,"")</f>
        <v/>
      </c>
      <c r="B2074" s="4" t="str">
        <f>IF(A2074="","",IF('Loan Inputs'!$B$14=12,DATE(YEAR('Loan Inputs'!$B$8),MONTH('Loan Inputs'!$B$8)+A2074,DAY('Loan Inputs'!$B$8)),'Loan Inputs'!$B$8+A2074*IF('Loan Inputs'!$B$14=26,14,7)))</f>
        <v/>
      </c>
      <c r="C2074" s="2" t="str">
        <f t="shared" si="98"/>
        <v/>
      </c>
      <c r="D2074" s="2" t="str">
        <f>IF(A2074="","",MIN('Loan Inputs'!$B$17,C2074+E2074)+H2074)</f>
        <v/>
      </c>
      <c r="E2074" s="2" t="str">
        <f>IF(A2074="","",C2074*'Loan Inputs'!$B$15)</f>
        <v/>
      </c>
      <c r="F2074" s="2" t="str">
        <f t="shared" si="96"/>
        <v/>
      </c>
      <c r="G2074" s="2" t="str">
        <f t="shared" si="97"/>
        <v/>
      </c>
      <c r="H2074" s="2" t="str">
        <f>IF(A2074="","",MIN('Loan Inputs'!$B$18,MAX(0,C2074+E2074-'Loan Inputs'!$B$17)))</f>
        <v/>
      </c>
    </row>
    <row r="2075" spans="1:8" ht="22" customHeight="1">
      <c r="A2075" s="1" t="str">
        <f>IF(AND('Loan Inputs'!$B$12,2069&lt;=IF('Loan Inputs'!$B$12,'Loan Inputs'!$B$7,0)*'Loan Inputs'!$B$14+5*'Loan Inputs'!$B$14,ISNUMBER(G2074),G2074&gt;0),2069,"")</f>
        <v/>
      </c>
      <c r="B2075" s="4" t="str">
        <f>IF(A2075="","",IF('Loan Inputs'!$B$14=12,DATE(YEAR('Loan Inputs'!$B$8),MONTH('Loan Inputs'!$B$8)+A2075,DAY('Loan Inputs'!$B$8)),'Loan Inputs'!$B$8+A2075*IF('Loan Inputs'!$B$14=26,14,7)))</f>
        <v/>
      </c>
      <c r="C2075" s="2" t="str">
        <f t="shared" si="98"/>
        <v/>
      </c>
      <c r="D2075" s="2" t="str">
        <f>IF(A2075="","",MIN('Loan Inputs'!$B$17,C2075+E2075)+H2075)</f>
        <v/>
      </c>
      <c r="E2075" s="2" t="str">
        <f>IF(A2075="","",C2075*'Loan Inputs'!$B$15)</f>
        <v/>
      </c>
      <c r="F2075" s="2" t="str">
        <f t="shared" si="96"/>
        <v/>
      </c>
      <c r="G2075" s="2" t="str">
        <f t="shared" si="97"/>
        <v/>
      </c>
      <c r="H2075" s="2" t="str">
        <f>IF(A2075="","",MIN('Loan Inputs'!$B$18,MAX(0,C2075+E2075-'Loan Inputs'!$B$17)))</f>
        <v/>
      </c>
    </row>
    <row r="2076" spans="1:8" ht="22" customHeight="1">
      <c r="A2076" s="1" t="str">
        <f>IF(AND('Loan Inputs'!$B$12,2070&lt;=IF('Loan Inputs'!$B$12,'Loan Inputs'!$B$7,0)*'Loan Inputs'!$B$14+5*'Loan Inputs'!$B$14,ISNUMBER(G2075),G2075&gt;0),2070,"")</f>
        <v/>
      </c>
      <c r="B2076" s="4" t="str">
        <f>IF(A2076="","",IF('Loan Inputs'!$B$14=12,DATE(YEAR('Loan Inputs'!$B$8),MONTH('Loan Inputs'!$B$8)+A2076,DAY('Loan Inputs'!$B$8)),'Loan Inputs'!$B$8+A2076*IF('Loan Inputs'!$B$14=26,14,7)))</f>
        <v/>
      </c>
      <c r="C2076" s="2" t="str">
        <f t="shared" si="98"/>
        <v/>
      </c>
      <c r="D2076" s="2" t="str">
        <f>IF(A2076="","",MIN('Loan Inputs'!$B$17,C2076+E2076)+H2076)</f>
        <v/>
      </c>
      <c r="E2076" s="2" t="str">
        <f>IF(A2076="","",C2076*'Loan Inputs'!$B$15)</f>
        <v/>
      </c>
      <c r="F2076" s="2" t="str">
        <f t="shared" si="96"/>
        <v/>
      </c>
      <c r="G2076" s="2" t="str">
        <f t="shared" si="97"/>
        <v/>
      </c>
      <c r="H2076" s="2" t="str">
        <f>IF(A2076="","",MIN('Loan Inputs'!$B$18,MAX(0,C2076+E2076-'Loan Inputs'!$B$17)))</f>
        <v/>
      </c>
    </row>
    <row r="2077" spans="1:8" ht="22" customHeight="1">
      <c r="A2077" s="1" t="str">
        <f>IF(AND('Loan Inputs'!$B$12,2071&lt;=IF('Loan Inputs'!$B$12,'Loan Inputs'!$B$7,0)*'Loan Inputs'!$B$14+5*'Loan Inputs'!$B$14,ISNUMBER(G2076),G2076&gt;0),2071,"")</f>
        <v/>
      </c>
      <c r="B2077" s="4" t="str">
        <f>IF(A2077="","",IF('Loan Inputs'!$B$14=12,DATE(YEAR('Loan Inputs'!$B$8),MONTH('Loan Inputs'!$B$8)+A2077,DAY('Loan Inputs'!$B$8)),'Loan Inputs'!$B$8+A2077*IF('Loan Inputs'!$B$14=26,14,7)))</f>
        <v/>
      </c>
      <c r="C2077" s="2" t="str">
        <f t="shared" si="98"/>
        <v/>
      </c>
      <c r="D2077" s="2" t="str">
        <f>IF(A2077="","",MIN('Loan Inputs'!$B$17,C2077+E2077)+H2077)</f>
        <v/>
      </c>
      <c r="E2077" s="2" t="str">
        <f>IF(A2077="","",C2077*'Loan Inputs'!$B$15)</f>
        <v/>
      </c>
      <c r="F2077" s="2" t="str">
        <f t="shared" si="96"/>
        <v/>
      </c>
      <c r="G2077" s="2" t="str">
        <f t="shared" si="97"/>
        <v/>
      </c>
      <c r="H2077" s="2" t="str">
        <f>IF(A2077="","",MIN('Loan Inputs'!$B$18,MAX(0,C2077+E2077-'Loan Inputs'!$B$17)))</f>
        <v/>
      </c>
    </row>
    <row r="2078" spans="1:8" ht="22" customHeight="1">
      <c r="A2078" s="1" t="str">
        <f>IF(AND('Loan Inputs'!$B$12,2072&lt;=IF('Loan Inputs'!$B$12,'Loan Inputs'!$B$7,0)*'Loan Inputs'!$B$14+5*'Loan Inputs'!$B$14,ISNUMBER(G2077),G2077&gt;0),2072,"")</f>
        <v/>
      </c>
      <c r="B2078" s="4" t="str">
        <f>IF(A2078="","",IF('Loan Inputs'!$B$14=12,DATE(YEAR('Loan Inputs'!$B$8),MONTH('Loan Inputs'!$B$8)+A2078,DAY('Loan Inputs'!$B$8)),'Loan Inputs'!$B$8+A2078*IF('Loan Inputs'!$B$14=26,14,7)))</f>
        <v/>
      </c>
      <c r="C2078" s="2" t="str">
        <f t="shared" si="98"/>
        <v/>
      </c>
      <c r="D2078" s="2" t="str">
        <f>IF(A2078="","",MIN('Loan Inputs'!$B$17,C2078+E2078)+H2078)</f>
        <v/>
      </c>
      <c r="E2078" s="2" t="str">
        <f>IF(A2078="","",C2078*'Loan Inputs'!$B$15)</f>
        <v/>
      </c>
      <c r="F2078" s="2" t="str">
        <f t="shared" si="96"/>
        <v/>
      </c>
      <c r="G2078" s="2" t="str">
        <f t="shared" si="97"/>
        <v/>
      </c>
      <c r="H2078" s="2" t="str">
        <f>IF(A2078="","",MIN('Loan Inputs'!$B$18,MAX(0,C2078+E2078-'Loan Inputs'!$B$17)))</f>
        <v/>
      </c>
    </row>
    <row r="2079" spans="1:8" ht="22" customHeight="1">
      <c r="A2079" s="1" t="str">
        <f>IF(AND('Loan Inputs'!$B$12,2073&lt;=IF('Loan Inputs'!$B$12,'Loan Inputs'!$B$7,0)*'Loan Inputs'!$B$14+5*'Loan Inputs'!$B$14,ISNUMBER(G2078),G2078&gt;0),2073,"")</f>
        <v/>
      </c>
      <c r="B2079" s="4" t="str">
        <f>IF(A2079="","",IF('Loan Inputs'!$B$14=12,DATE(YEAR('Loan Inputs'!$B$8),MONTH('Loan Inputs'!$B$8)+A2079,DAY('Loan Inputs'!$B$8)),'Loan Inputs'!$B$8+A2079*IF('Loan Inputs'!$B$14=26,14,7)))</f>
        <v/>
      </c>
      <c r="C2079" s="2" t="str">
        <f t="shared" si="98"/>
        <v/>
      </c>
      <c r="D2079" s="2" t="str">
        <f>IF(A2079="","",MIN('Loan Inputs'!$B$17,C2079+E2079)+H2079)</f>
        <v/>
      </c>
      <c r="E2079" s="2" t="str">
        <f>IF(A2079="","",C2079*'Loan Inputs'!$B$15)</f>
        <v/>
      </c>
      <c r="F2079" s="2" t="str">
        <f t="shared" si="96"/>
        <v/>
      </c>
      <c r="G2079" s="2" t="str">
        <f t="shared" si="97"/>
        <v/>
      </c>
      <c r="H2079" s="2" t="str">
        <f>IF(A2079="","",MIN('Loan Inputs'!$B$18,MAX(0,C2079+E2079-'Loan Inputs'!$B$17)))</f>
        <v/>
      </c>
    </row>
    <row r="2080" spans="1:8" ht="22" customHeight="1">
      <c r="A2080" s="1" t="str">
        <f>IF(AND('Loan Inputs'!$B$12,2074&lt;=IF('Loan Inputs'!$B$12,'Loan Inputs'!$B$7,0)*'Loan Inputs'!$B$14+5*'Loan Inputs'!$B$14,ISNUMBER(G2079),G2079&gt;0),2074,"")</f>
        <v/>
      </c>
      <c r="B2080" s="4" t="str">
        <f>IF(A2080="","",IF('Loan Inputs'!$B$14=12,DATE(YEAR('Loan Inputs'!$B$8),MONTH('Loan Inputs'!$B$8)+A2080,DAY('Loan Inputs'!$B$8)),'Loan Inputs'!$B$8+A2080*IF('Loan Inputs'!$B$14=26,14,7)))</f>
        <v/>
      </c>
      <c r="C2080" s="2" t="str">
        <f t="shared" si="98"/>
        <v/>
      </c>
      <c r="D2080" s="2" t="str">
        <f>IF(A2080="","",MIN('Loan Inputs'!$B$17,C2080+E2080)+H2080)</f>
        <v/>
      </c>
      <c r="E2080" s="2" t="str">
        <f>IF(A2080="","",C2080*'Loan Inputs'!$B$15)</f>
        <v/>
      </c>
      <c r="F2080" s="2" t="str">
        <f t="shared" si="96"/>
        <v/>
      </c>
      <c r="G2080" s="2" t="str">
        <f t="shared" si="97"/>
        <v/>
      </c>
      <c r="H2080" s="2" t="str">
        <f>IF(A2080="","",MIN('Loan Inputs'!$B$18,MAX(0,C2080+E2080-'Loan Inputs'!$B$17)))</f>
        <v/>
      </c>
    </row>
    <row r="2081" spans="1:8" ht="22" customHeight="1">
      <c r="A2081" s="1" t="str">
        <f>IF(AND('Loan Inputs'!$B$12,2075&lt;=IF('Loan Inputs'!$B$12,'Loan Inputs'!$B$7,0)*'Loan Inputs'!$B$14+5*'Loan Inputs'!$B$14,ISNUMBER(G2080),G2080&gt;0),2075,"")</f>
        <v/>
      </c>
      <c r="B2081" s="4" t="str">
        <f>IF(A2081="","",IF('Loan Inputs'!$B$14=12,DATE(YEAR('Loan Inputs'!$B$8),MONTH('Loan Inputs'!$B$8)+A2081,DAY('Loan Inputs'!$B$8)),'Loan Inputs'!$B$8+A2081*IF('Loan Inputs'!$B$14=26,14,7)))</f>
        <v/>
      </c>
      <c r="C2081" s="2" t="str">
        <f t="shared" si="98"/>
        <v/>
      </c>
      <c r="D2081" s="2" t="str">
        <f>IF(A2081="","",MIN('Loan Inputs'!$B$17,C2081+E2081)+H2081)</f>
        <v/>
      </c>
      <c r="E2081" s="2" t="str">
        <f>IF(A2081="","",C2081*'Loan Inputs'!$B$15)</f>
        <v/>
      </c>
      <c r="F2081" s="2" t="str">
        <f t="shared" si="96"/>
        <v/>
      </c>
      <c r="G2081" s="2" t="str">
        <f t="shared" si="97"/>
        <v/>
      </c>
      <c r="H2081" s="2" t="str">
        <f>IF(A2081="","",MIN('Loan Inputs'!$B$18,MAX(0,C2081+E2081-'Loan Inputs'!$B$17)))</f>
        <v/>
      </c>
    </row>
    <row r="2082" spans="1:8" ht="22" customHeight="1">
      <c r="A2082" s="1" t="str">
        <f>IF(AND('Loan Inputs'!$B$12,2076&lt;=IF('Loan Inputs'!$B$12,'Loan Inputs'!$B$7,0)*'Loan Inputs'!$B$14+5*'Loan Inputs'!$B$14,ISNUMBER(G2081),G2081&gt;0),2076,"")</f>
        <v/>
      </c>
      <c r="B2082" s="4" t="str">
        <f>IF(A2082="","",IF('Loan Inputs'!$B$14=12,DATE(YEAR('Loan Inputs'!$B$8),MONTH('Loan Inputs'!$B$8)+A2082,DAY('Loan Inputs'!$B$8)),'Loan Inputs'!$B$8+A2082*IF('Loan Inputs'!$B$14=26,14,7)))</f>
        <v/>
      </c>
      <c r="C2082" s="2" t="str">
        <f t="shared" si="98"/>
        <v/>
      </c>
      <c r="D2082" s="2" t="str">
        <f>IF(A2082="","",MIN('Loan Inputs'!$B$17,C2082+E2082)+H2082)</f>
        <v/>
      </c>
      <c r="E2082" s="2" t="str">
        <f>IF(A2082="","",C2082*'Loan Inputs'!$B$15)</f>
        <v/>
      </c>
      <c r="F2082" s="2" t="str">
        <f t="shared" si="96"/>
        <v/>
      </c>
      <c r="G2082" s="2" t="str">
        <f t="shared" si="97"/>
        <v/>
      </c>
      <c r="H2082" s="2" t="str">
        <f>IF(A2082="","",MIN('Loan Inputs'!$B$18,MAX(0,C2082+E2082-'Loan Inputs'!$B$17)))</f>
        <v/>
      </c>
    </row>
    <row r="2083" spans="1:8" ht="22" customHeight="1">
      <c r="A2083" s="1" t="str">
        <f>IF(AND('Loan Inputs'!$B$12,2077&lt;=IF('Loan Inputs'!$B$12,'Loan Inputs'!$B$7,0)*'Loan Inputs'!$B$14+5*'Loan Inputs'!$B$14,ISNUMBER(G2082),G2082&gt;0),2077,"")</f>
        <v/>
      </c>
      <c r="B2083" s="4" t="str">
        <f>IF(A2083="","",IF('Loan Inputs'!$B$14=12,DATE(YEAR('Loan Inputs'!$B$8),MONTH('Loan Inputs'!$B$8)+A2083,DAY('Loan Inputs'!$B$8)),'Loan Inputs'!$B$8+A2083*IF('Loan Inputs'!$B$14=26,14,7)))</f>
        <v/>
      </c>
      <c r="C2083" s="2" t="str">
        <f t="shared" si="98"/>
        <v/>
      </c>
      <c r="D2083" s="2" t="str">
        <f>IF(A2083="","",MIN('Loan Inputs'!$B$17,C2083+E2083)+H2083)</f>
        <v/>
      </c>
      <c r="E2083" s="2" t="str">
        <f>IF(A2083="","",C2083*'Loan Inputs'!$B$15)</f>
        <v/>
      </c>
      <c r="F2083" s="2" t="str">
        <f t="shared" si="96"/>
        <v/>
      </c>
      <c r="G2083" s="2" t="str">
        <f t="shared" si="97"/>
        <v/>
      </c>
      <c r="H2083" s="2" t="str">
        <f>IF(A2083="","",MIN('Loan Inputs'!$B$18,MAX(0,C2083+E2083-'Loan Inputs'!$B$17)))</f>
        <v/>
      </c>
    </row>
    <row r="2084" spans="1:8" ht="22" customHeight="1">
      <c r="A2084" s="1" t="str">
        <f>IF(AND('Loan Inputs'!$B$12,2078&lt;=IF('Loan Inputs'!$B$12,'Loan Inputs'!$B$7,0)*'Loan Inputs'!$B$14+5*'Loan Inputs'!$B$14,ISNUMBER(G2083),G2083&gt;0),2078,"")</f>
        <v/>
      </c>
      <c r="B2084" s="4" t="str">
        <f>IF(A2084="","",IF('Loan Inputs'!$B$14=12,DATE(YEAR('Loan Inputs'!$B$8),MONTH('Loan Inputs'!$B$8)+A2084,DAY('Loan Inputs'!$B$8)),'Loan Inputs'!$B$8+A2084*IF('Loan Inputs'!$B$14=26,14,7)))</f>
        <v/>
      </c>
      <c r="C2084" s="2" t="str">
        <f t="shared" si="98"/>
        <v/>
      </c>
      <c r="D2084" s="2" t="str">
        <f>IF(A2084="","",MIN('Loan Inputs'!$B$17,C2084+E2084)+H2084)</f>
        <v/>
      </c>
      <c r="E2084" s="2" t="str">
        <f>IF(A2084="","",C2084*'Loan Inputs'!$B$15)</f>
        <v/>
      </c>
      <c r="F2084" s="2" t="str">
        <f t="shared" si="96"/>
        <v/>
      </c>
      <c r="G2084" s="2" t="str">
        <f t="shared" si="97"/>
        <v/>
      </c>
      <c r="H2084" s="2" t="str">
        <f>IF(A2084="","",MIN('Loan Inputs'!$B$18,MAX(0,C2084+E2084-'Loan Inputs'!$B$17)))</f>
        <v/>
      </c>
    </row>
    <row r="2085" spans="1:8" ht="22" customHeight="1">
      <c r="A2085" s="1" t="str">
        <f>IF(AND('Loan Inputs'!$B$12,2079&lt;=IF('Loan Inputs'!$B$12,'Loan Inputs'!$B$7,0)*'Loan Inputs'!$B$14+5*'Loan Inputs'!$B$14,ISNUMBER(G2084),G2084&gt;0),2079,"")</f>
        <v/>
      </c>
      <c r="B2085" s="4" t="str">
        <f>IF(A2085="","",IF('Loan Inputs'!$B$14=12,DATE(YEAR('Loan Inputs'!$B$8),MONTH('Loan Inputs'!$B$8)+A2085,DAY('Loan Inputs'!$B$8)),'Loan Inputs'!$B$8+A2085*IF('Loan Inputs'!$B$14=26,14,7)))</f>
        <v/>
      </c>
      <c r="C2085" s="2" t="str">
        <f t="shared" si="98"/>
        <v/>
      </c>
      <c r="D2085" s="2" t="str">
        <f>IF(A2085="","",MIN('Loan Inputs'!$B$17,C2085+E2085)+H2085)</f>
        <v/>
      </c>
      <c r="E2085" s="2" t="str">
        <f>IF(A2085="","",C2085*'Loan Inputs'!$B$15)</f>
        <v/>
      </c>
      <c r="F2085" s="2" t="str">
        <f t="shared" si="96"/>
        <v/>
      </c>
      <c r="G2085" s="2" t="str">
        <f t="shared" si="97"/>
        <v/>
      </c>
      <c r="H2085" s="2" t="str">
        <f>IF(A2085="","",MIN('Loan Inputs'!$B$18,MAX(0,C2085+E2085-'Loan Inputs'!$B$17)))</f>
        <v/>
      </c>
    </row>
    <row r="2086" spans="1:8" ht="22" customHeight="1">
      <c r="A2086" s="1" t="str">
        <f>IF(AND('Loan Inputs'!$B$12,2080&lt;=IF('Loan Inputs'!$B$12,'Loan Inputs'!$B$7,0)*'Loan Inputs'!$B$14+5*'Loan Inputs'!$B$14,ISNUMBER(G2085),G2085&gt;0),2080,"")</f>
        <v/>
      </c>
      <c r="B2086" s="4" t="str">
        <f>IF(A2086="","",IF('Loan Inputs'!$B$14=12,DATE(YEAR('Loan Inputs'!$B$8),MONTH('Loan Inputs'!$B$8)+A2086,DAY('Loan Inputs'!$B$8)),'Loan Inputs'!$B$8+A2086*IF('Loan Inputs'!$B$14=26,14,7)))</f>
        <v/>
      </c>
      <c r="C2086" s="2" t="str">
        <f t="shared" si="98"/>
        <v/>
      </c>
      <c r="D2086" s="2" t="str">
        <f>IF(A2086="","",MIN('Loan Inputs'!$B$17,C2086+E2086)+H2086)</f>
        <v/>
      </c>
      <c r="E2086" s="2" t="str">
        <f>IF(A2086="","",C2086*'Loan Inputs'!$B$15)</f>
        <v/>
      </c>
      <c r="F2086" s="2" t="str">
        <f t="shared" si="96"/>
        <v/>
      </c>
      <c r="G2086" s="2" t="str">
        <f t="shared" si="97"/>
        <v/>
      </c>
      <c r="H2086" s="2" t="str">
        <f>IF(A2086="","",MIN('Loan Inputs'!$B$18,MAX(0,C2086+E2086-'Loan Inputs'!$B$17)))</f>
        <v/>
      </c>
    </row>
  </sheetData>
  <sheetProtection sheet="1" objects="1" scenarios="1"/>
  <mergeCells count="1">
    <mergeCell ref="A1:H2"/>
  </mergeCells>
  <pageMargins left="0.39370078740157477" right="0.39370078740157477" top="0.39370078740157477" bottom="0.39370078740157477" header="0.3" footer="0.3"/>
  <pageSetup paperSize="9" scale="96" fitToHeight="0" orientation="landscape" r:id="rId1"/>
  <headerFooter>
    <oddFooter>&amp;CCalcy | Page &amp;P&amp;Rcalcy.com.au</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AF4EE"/>
    <pageSetUpPr fitToPage="1"/>
  </sheetPr>
  <dimension ref="A1:H90"/>
  <sheetViews>
    <sheetView showGridLines="0" zoomScaleNormal="100" workbookViewId="0">
      <pane ySplit="6" topLeftCell="A7" activePane="bottomLeft" state="frozen"/>
      <selection pane="bottomLeft" sqref="A1:H2"/>
    </sheetView>
  </sheetViews>
  <sheetFormatPr defaultRowHeight="14.15"/>
  <cols>
    <col min="1" max="1" width="28" customWidth="1"/>
    <col min="2" max="8" width="16" customWidth="1"/>
  </cols>
  <sheetData>
    <row r="1" spans="1:8" ht="22" customHeight="1">
      <c r="A1" s="12" t="s">
        <v>58</v>
      </c>
      <c r="B1" s="12" t="s">
        <v>58</v>
      </c>
      <c r="C1" s="12" t="s">
        <v>58</v>
      </c>
      <c r="D1" s="12" t="s">
        <v>58</v>
      </c>
      <c r="E1" s="12" t="s">
        <v>58</v>
      </c>
      <c r="F1" s="12" t="s">
        <v>58</v>
      </c>
      <c r="G1" s="12" t="s">
        <v>58</v>
      </c>
      <c r="H1" s="12" t="s">
        <v>58</v>
      </c>
    </row>
    <row r="2" spans="1:8" ht="22" customHeight="1">
      <c r="A2" s="12" t="s">
        <v>58</v>
      </c>
      <c r="B2" s="12" t="s">
        <v>58</v>
      </c>
      <c r="C2" s="12" t="s">
        <v>58</v>
      </c>
      <c r="D2" s="12" t="s">
        <v>58</v>
      </c>
      <c r="E2" s="12" t="s">
        <v>58</v>
      </c>
      <c r="F2" s="12" t="s">
        <v>58</v>
      </c>
      <c r="G2" s="12" t="s">
        <v>58</v>
      </c>
      <c r="H2" s="12" t="s">
        <v>58</v>
      </c>
    </row>
    <row r="3" spans="1:8" ht="22" customHeight="1">
      <c r="A3" s="1"/>
      <c r="B3" s="1"/>
      <c r="C3" s="1"/>
      <c r="D3" s="1"/>
      <c r="E3" s="1"/>
      <c r="F3" s="1"/>
      <c r="G3" s="1"/>
      <c r="H3" s="1"/>
    </row>
    <row r="4" spans="1:8" ht="22" customHeight="1">
      <c r="A4" s="1"/>
      <c r="B4" s="1"/>
      <c r="C4" s="1"/>
      <c r="D4" s="1"/>
      <c r="E4" s="1"/>
      <c r="F4" s="1"/>
      <c r="G4" s="1"/>
      <c r="H4" s="1"/>
    </row>
    <row r="5" spans="1:8" ht="22" customHeight="1">
      <c r="A5" s="1"/>
      <c r="B5" s="1"/>
      <c r="C5" s="1"/>
      <c r="D5" s="1"/>
      <c r="E5" s="1"/>
      <c r="F5" s="1"/>
      <c r="G5" s="1"/>
      <c r="H5" s="1"/>
    </row>
    <row r="6" spans="1:8" ht="32.049999999999997" customHeight="1">
      <c r="A6" s="3" t="s">
        <v>59</v>
      </c>
      <c r="B6" s="3" t="s">
        <v>54</v>
      </c>
      <c r="C6" s="3" t="s">
        <v>60</v>
      </c>
      <c r="D6" s="3" t="s">
        <v>61</v>
      </c>
      <c r="E6" s="3" t="s">
        <v>57</v>
      </c>
      <c r="F6" s="3" t="s">
        <v>62</v>
      </c>
      <c r="G6" s="3" t="s">
        <v>43</v>
      </c>
      <c r="H6" s="1"/>
    </row>
    <row r="7" spans="1:8" ht="22" customHeight="1">
      <c r="A7" s="1">
        <f>IF(AND('Loan Inputs'!$B$12,0*'Loan Inputs'!$B$14+1&lt;=Dashboard!$B$13),1,"")</f>
        <v>1</v>
      </c>
      <c r="B7" s="2">
        <f>IF(A7="","",INDEX('Repayment Schedule'!C7:C2086,0*'Loan Inputs'!$B$14+1))</f>
        <v>650000</v>
      </c>
      <c r="C7" s="2">
        <f>IF(A7="","",SUMIFS('Repayment Schedule'!F7:F2086,'Repayment Schedule'!A7:A2086,"&gt;="&amp;(0*'Loan Inputs'!$B$14+1),'Repayment Schedule'!A7:A2086,"&lt;="&amp;(MIN(1*'Loan Inputs'!$B$14,Dashboard!$B$13))))</f>
        <v>10507.600869515241</v>
      </c>
      <c r="D7" s="2">
        <f>IF(A7="","",SUMIFS('Repayment Schedule'!E7:E2086,'Repayment Schedule'!A7:A2086,"&gt;="&amp;(0*'Loan Inputs'!$B$14+1),'Repayment Schedule'!A7:A2086,"&lt;="&amp;(MIN(1*'Loan Inputs'!$B$14,Dashboard!$B$13))))</f>
        <v>41230.799544173002</v>
      </c>
      <c r="E7" s="2">
        <f>IF(A7="","",INDEX('Repayment Schedule'!G7:G2086,MIN(1*'Loan Inputs'!$B$14,Dashboard!$B$13)))</f>
        <v>639492.39913048479</v>
      </c>
      <c r="F7" s="2">
        <f>IF(A7="","",SUMIFS('Repayment Schedule'!D7:D2086,'Repayment Schedule'!A7:A2086,"&gt;="&amp;(0*'Loan Inputs'!$B$14+1),'Repayment Schedule'!A7:A2086,"&lt;="&amp;(MIN(1*'Loan Inputs'!$B$14,Dashboard!$B$13))))</f>
        <v>51738.400413688221</v>
      </c>
      <c r="G7" s="2">
        <f>IF(A7="","",SUMIFS('Repayment Schedule'!H7:H2086,'Repayment Schedule'!A7:A2086,"&gt;="&amp;(0*'Loan Inputs'!$B$14+1),'Repayment Schedule'!A7:A2086,"&lt;="&amp;(MIN(1*'Loan Inputs'!$B$14,Dashboard!$B$13))))</f>
        <v>3000</v>
      </c>
      <c r="H7" s="1"/>
    </row>
    <row r="8" spans="1:8" ht="22" customHeight="1">
      <c r="A8" s="1">
        <f>IF(AND('Loan Inputs'!$B$12,1*'Loan Inputs'!$B$14+1&lt;=Dashboard!$B$13),2,"")</f>
        <v>2</v>
      </c>
      <c r="B8" s="2">
        <f>IF(A8="","",INDEX('Repayment Schedule'!C7:C2086,1*'Loan Inputs'!$B$14+1))</f>
        <v>639492.39913048479</v>
      </c>
      <c r="C8" s="2">
        <f>IF(A8="","",SUMIFS('Repayment Schedule'!F7:F2086,'Repayment Schedule'!A7:A2086,"&gt;="&amp;(1*'Loan Inputs'!$B$14+1),'Repayment Schedule'!A7:A2086,"&lt;="&amp;(MIN(2*'Loan Inputs'!$B$14,Dashboard!$B$13))))</f>
        <v>11199.054503839572</v>
      </c>
      <c r="D8" s="2">
        <f>IF(A8="","",SUMIFS('Repayment Schedule'!E7:E2086,'Repayment Schedule'!A7:A2086,"&gt;="&amp;(1*'Loan Inputs'!$B$14+1),'Repayment Schedule'!A7:A2086,"&lt;="&amp;(MIN(2*'Loan Inputs'!$B$14,Dashboard!$B$13))))</f>
        <v>40539.345909848664</v>
      </c>
      <c r="E8" s="2">
        <f>IF(A8="","",INDEX('Repayment Schedule'!G7:G2086,MIN(2*'Loan Inputs'!$B$14,Dashboard!$B$13)))</f>
        <v>628293.34462664521</v>
      </c>
      <c r="F8" s="2">
        <f>IF(A8="","",SUMIFS('Repayment Schedule'!D7:D2086,'Repayment Schedule'!A7:A2086,"&gt;="&amp;(1*'Loan Inputs'!$B$14+1),'Repayment Schedule'!A7:A2086,"&lt;="&amp;(MIN(2*'Loan Inputs'!$B$14,Dashboard!$B$13))))</f>
        <v>51738.400413688221</v>
      </c>
      <c r="G8" s="2">
        <f>IF(A8="","",SUMIFS('Repayment Schedule'!H7:H2086,'Repayment Schedule'!A7:A2086,"&gt;="&amp;(1*'Loan Inputs'!$B$14+1),'Repayment Schedule'!A7:A2086,"&lt;="&amp;(MIN(2*'Loan Inputs'!$B$14,Dashboard!$B$13))))</f>
        <v>3000</v>
      </c>
      <c r="H8" s="1"/>
    </row>
    <row r="9" spans="1:8" ht="22" customHeight="1">
      <c r="A9" s="1">
        <f>IF(AND('Loan Inputs'!$B$12,2*'Loan Inputs'!$B$14+1&lt;=Dashboard!$B$13),3,"")</f>
        <v>3</v>
      </c>
      <c r="B9" s="2">
        <f>IF(A9="","",INDEX('Repayment Schedule'!C7:C2086,2*'Loan Inputs'!$B$14+1))</f>
        <v>628293.34462664521</v>
      </c>
      <c r="C9" s="2">
        <f>IF(A9="","",SUMIFS('Repayment Schedule'!F7:F2086,'Repayment Schedule'!A7:A2086,"&gt;="&amp;(2*'Loan Inputs'!$B$14+1),'Repayment Schedule'!A7:A2086,"&lt;="&amp;(MIN(3*'Loan Inputs'!$B$14,Dashboard!$B$13))))</f>
        <v>11936.009307684664</v>
      </c>
      <c r="D9" s="2">
        <f>IF(A9="","",SUMIFS('Repayment Schedule'!E7:E2086,'Repayment Schedule'!A7:A2086,"&gt;="&amp;(2*'Loan Inputs'!$B$14+1),'Repayment Schedule'!A7:A2086,"&lt;="&amp;(MIN(3*'Loan Inputs'!$B$14,Dashboard!$B$13))))</f>
        <v>39802.391106003575</v>
      </c>
      <c r="E9" s="2">
        <f>IF(A9="","",INDEX('Repayment Schedule'!G7:G2086,MIN(3*'Loan Inputs'!$B$14,Dashboard!$B$13)))</f>
        <v>616357.3353189606</v>
      </c>
      <c r="F9" s="2">
        <f>IF(A9="","",SUMIFS('Repayment Schedule'!D7:D2086,'Repayment Schedule'!A7:A2086,"&gt;="&amp;(2*'Loan Inputs'!$B$14+1),'Repayment Schedule'!A7:A2086,"&lt;="&amp;(MIN(3*'Loan Inputs'!$B$14,Dashboard!$B$13))))</f>
        <v>51738.400413688221</v>
      </c>
      <c r="G9" s="2">
        <f>IF(A9="","",SUMIFS('Repayment Schedule'!H7:H2086,'Repayment Schedule'!A7:A2086,"&gt;="&amp;(2*'Loan Inputs'!$B$14+1),'Repayment Schedule'!A7:A2086,"&lt;="&amp;(MIN(3*'Loan Inputs'!$B$14,Dashboard!$B$13))))</f>
        <v>3000</v>
      </c>
      <c r="H9" s="1"/>
    </row>
    <row r="10" spans="1:8" ht="22" customHeight="1">
      <c r="A10" s="1">
        <f>IF(AND('Loan Inputs'!$B$12,3*'Loan Inputs'!$B$14+1&lt;=Dashboard!$B$13),4,"")</f>
        <v>4</v>
      </c>
      <c r="B10" s="2">
        <f>IF(A10="","",INDEX('Repayment Schedule'!C7:C2086,3*'Loan Inputs'!$B$14+1))</f>
        <v>616357.3353189606</v>
      </c>
      <c r="C10" s="2">
        <f>IF(A10="","",SUMIFS('Repayment Schedule'!F7:F2086,'Repayment Schedule'!A7:A2086,"&gt;="&amp;(3*'Loan Inputs'!$B$14+1),'Repayment Schedule'!A7:A2086,"&lt;="&amp;(MIN(4*'Loan Inputs'!$B$14,Dashboard!$B$13))))</f>
        <v>12721.45948966405</v>
      </c>
      <c r="D10" s="2">
        <f>IF(A10="","",SUMIFS('Repayment Schedule'!E7:E2086,'Repayment Schedule'!A7:A2086,"&gt;="&amp;(3*'Loan Inputs'!$B$14+1),'Repayment Schedule'!A7:A2086,"&lt;="&amp;(MIN(4*'Loan Inputs'!$B$14,Dashboard!$B$13))))</f>
        <v>39016.940924024195</v>
      </c>
      <c r="E10" s="2">
        <f>IF(A10="","",INDEX('Repayment Schedule'!G7:G2086,MIN(4*'Loan Inputs'!$B$14,Dashboard!$B$13)))</f>
        <v>603635.87582929677</v>
      </c>
      <c r="F10" s="2">
        <f>IF(A10="","",SUMIFS('Repayment Schedule'!D7:D2086,'Repayment Schedule'!A7:A2086,"&gt;="&amp;(3*'Loan Inputs'!$B$14+1),'Repayment Schedule'!A7:A2086,"&lt;="&amp;(MIN(4*'Loan Inputs'!$B$14,Dashboard!$B$13))))</f>
        <v>51738.400413688221</v>
      </c>
      <c r="G10" s="2">
        <f>IF(A10="","",SUMIFS('Repayment Schedule'!H7:H2086,'Repayment Schedule'!A7:A2086,"&gt;="&amp;(3*'Loan Inputs'!$B$14+1),'Repayment Schedule'!A7:A2086,"&lt;="&amp;(MIN(4*'Loan Inputs'!$B$14,Dashboard!$B$13))))</f>
        <v>3000</v>
      </c>
      <c r="H10" s="1"/>
    </row>
    <row r="11" spans="1:8" ht="22" customHeight="1">
      <c r="A11" s="1">
        <f>IF(AND('Loan Inputs'!$B$12,4*'Loan Inputs'!$B$14+1&lt;=Dashboard!$B$13),5,"")</f>
        <v>5</v>
      </c>
      <c r="B11" s="2">
        <f>IF(A11="","",INDEX('Repayment Schedule'!C7:C2086,4*'Loan Inputs'!$B$14+1))</f>
        <v>603635.87582929677</v>
      </c>
      <c r="C11" s="2">
        <f>IF(A11="","",SUMIFS('Repayment Schedule'!F7:F2086,'Repayment Schedule'!A7:A2086,"&gt;="&amp;(4*'Loan Inputs'!$B$14+1),'Repayment Schedule'!A7:A2086,"&lt;="&amp;(MIN(5*'Loan Inputs'!$B$14,Dashboard!$B$13))))</f>
        <v>13558.596292562395</v>
      </c>
      <c r="D11" s="2">
        <f>IF(A11="","",SUMIFS('Repayment Schedule'!E7:E2086,'Repayment Schedule'!A7:A2086,"&gt;="&amp;(4*'Loan Inputs'!$B$14+1),'Repayment Schedule'!A7:A2086,"&lt;="&amp;(MIN(5*'Loan Inputs'!$B$14,Dashboard!$B$13))))</f>
        <v>38179.804121125839</v>
      </c>
      <c r="E11" s="2">
        <f>IF(A11="","",INDEX('Repayment Schedule'!G7:G2086,MIN(5*'Loan Inputs'!$B$14,Dashboard!$B$13)))</f>
        <v>590077.27953673422</v>
      </c>
      <c r="F11" s="2">
        <f>IF(A11="","",SUMIFS('Repayment Schedule'!D7:D2086,'Repayment Schedule'!A7:A2086,"&gt;="&amp;(4*'Loan Inputs'!$B$14+1),'Repayment Schedule'!A7:A2086,"&lt;="&amp;(MIN(5*'Loan Inputs'!$B$14,Dashboard!$B$13))))</f>
        <v>51738.400413688221</v>
      </c>
      <c r="G11" s="2">
        <f>IF(A11="","",SUMIFS('Repayment Schedule'!H7:H2086,'Repayment Schedule'!A7:A2086,"&gt;="&amp;(4*'Loan Inputs'!$B$14+1),'Repayment Schedule'!A7:A2086,"&lt;="&amp;(MIN(5*'Loan Inputs'!$B$14,Dashboard!$B$13))))</f>
        <v>3000</v>
      </c>
      <c r="H11" s="1"/>
    </row>
    <row r="12" spans="1:8" ht="22" customHeight="1">
      <c r="A12" s="1">
        <f>IF(AND('Loan Inputs'!$B$12,5*'Loan Inputs'!$B$14+1&lt;=Dashboard!$B$13),6,"")</f>
        <v>6</v>
      </c>
      <c r="B12" s="2">
        <f>IF(A12="","",INDEX('Repayment Schedule'!C7:C2086,5*'Loan Inputs'!$B$14+1))</f>
        <v>590077.27953673422</v>
      </c>
      <c r="C12" s="2">
        <f>IF(A12="","",SUMIFS('Repayment Schedule'!F7:F2086,'Repayment Schedule'!A7:A2086,"&gt;="&amp;(5*'Loan Inputs'!$B$14+1),'Repayment Schedule'!A7:A2086,"&lt;="&amp;(MIN(6*'Loan Inputs'!$B$14,Dashboard!$B$13))))</f>
        <v>14450.820959187105</v>
      </c>
      <c r="D12" s="2">
        <f>IF(A12="","",SUMIFS('Repayment Schedule'!E7:E2086,'Repayment Schedule'!A7:A2086,"&gt;="&amp;(5*'Loan Inputs'!$B$14+1),'Repayment Schedule'!A7:A2086,"&lt;="&amp;(MIN(6*'Loan Inputs'!$B$14,Dashboard!$B$13))))</f>
        <v>37287.57945450113</v>
      </c>
      <c r="E12" s="2">
        <f>IF(A12="","",INDEX('Repayment Schedule'!G7:G2086,MIN(6*'Loan Inputs'!$B$14,Dashboard!$B$13)))</f>
        <v>575626.45857754722</v>
      </c>
      <c r="F12" s="2">
        <f>IF(A12="","",SUMIFS('Repayment Schedule'!D7:D2086,'Repayment Schedule'!A7:A2086,"&gt;="&amp;(5*'Loan Inputs'!$B$14+1),'Repayment Schedule'!A7:A2086,"&lt;="&amp;(MIN(6*'Loan Inputs'!$B$14,Dashboard!$B$13))))</f>
        <v>51738.400413688221</v>
      </c>
      <c r="G12" s="2">
        <f>IF(A12="","",SUMIFS('Repayment Schedule'!H7:H2086,'Repayment Schedule'!A7:A2086,"&gt;="&amp;(5*'Loan Inputs'!$B$14+1),'Repayment Schedule'!A7:A2086,"&lt;="&amp;(MIN(6*'Loan Inputs'!$B$14,Dashboard!$B$13))))</f>
        <v>3000</v>
      </c>
      <c r="H12" s="1"/>
    </row>
    <row r="13" spans="1:8" ht="22" customHeight="1">
      <c r="A13" s="1">
        <f>IF(AND('Loan Inputs'!$B$12,6*'Loan Inputs'!$B$14+1&lt;=Dashboard!$B$13),7,"")</f>
        <v>7</v>
      </c>
      <c r="B13" s="2">
        <f>IF(A13="","",INDEX('Repayment Schedule'!C7:C2086,6*'Loan Inputs'!$B$14+1))</f>
        <v>575626.45857754722</v>
      </c>
      <c r="C13" s="2">
        <f>IF(A13="","",SUMIFS('Repayment Schedule'!F7:F2086,'Repayment Schedule'!A7:A2086,"&gt;="&amp;(6*'Loan Inputs'!$B$14+1),'Repayment Schedule'!A7:A2086,"&lt;="&amp;(MIN(7*'Loan Inputs'!$B$14,Dashboard!$B$13))))</f>
        <v>15401.758551438928</v>
      </c>
      <c r="D13" s="2">
        <f>IF(A13="","",SUMIFS('Repayment Schedule'!E7:E2086,'Repayment Schedule'!A7:A2086,"&gt;="&amp;(6*'Loan Inputs'!$B$14+1),'Repayment Schedule'!A7:A2086,"&lt;="&amp;(MIN(7*'Loan Inputs'!$B$14,Dashboard!$B$13))))</f>
        <v>36336.641862249307</v>
      </c>
      <c r="E13" s="2">
        <f>IF(A13="","",INDEX('Repayment Schedule'!G7:G2086,MIN(7*'Loan Inputs'!$B$14,Dashboard!$B$13)))</f>
        <v>560224.70002610842</v>
      </c>
      <c r="F13" s="2">
        <f>IF(A13="","",SUMIFS('Repayment Schedule'!D7:D2086,'Repayment Schedule'!A7:A2086,"&gt;="&amp;(6*'Loan Inputs'!$B$14+1),'Repayment Schedule'!A7:A2086,"&lt;="&amp;(MIN(7*'Loan Inputs'!$B$14,Dashboard!$B$13))))</f>
        <v>51738.400413688221</v>
      </c>
      <c r="G13" s="2">
        <f>IF(A13="","",SUMIFS('Repayment Schedule'!H7:H2086,'Repayment Schedule'!A7:A2086,"&gt;="&amp;(6*'Loan Inputs'!$B$14+1),'Repayment Schedule'!A7:A2086,"&lt;="&amp;(MIN(7*'Loan Inputs'!$B$14,Dashboard!$B$13))))</f>
        <v>3000</v>
      </c>
      <c r="H13" s="1"/>
    </row>
    <row r="14" spans="1:8" ht="22" customHeight="1">
      <c r="A14" s="1">
        <f>IF(AND('Loan Inputs'!$B$12,7*'Loan Inputs'!$B$14+1&lt;=Dashboard!$B$13),8,"")</f>
        <v>8</v>
      </c>
      <c r="B14" s="2">
        <f>IF(A14="","",INDEX('Repayment Schedule'!C7:C2086,7*'Loan Inputs'!$B$14+1))</f>
        <v>560224.70002610842</v>
      </c>
      <c r="C14" s="2">
        <f>IF(A14="","",SUMIFS('Repayment Schedule'!F7:F2086,'Repayment Schedule'!A7:A2086,"&gt;="&amp;(7*'Loan Inputs'!$B$14+1),'Repayment Schedule'!A7:A2086,"&lt;="&amp;(MIN(8*'Loan Inputs'!$B$14,Dashboard!$B$13))))</f>
        <v>16415.272678747944</v>
      </c>
      <c r="D14" s="2">
        <f>IF(A14="","",SUMIFS('Repayment Schedule'!E7:E2086,'Repayment Schedule'!A7:A2086,"&gt;="&amp;(7*'Loan Inputs'!$B$14+1),'Repayment Schedule'!A7:A2086,"&lt;="&amp;(MIN(8*'Loan Inputs'!$B$14,Dashboard!$B$13))))</f>
        <v>35323.127734940288</v>
      </c>
      <c r="E14" s="2">
        <f>IF(A14="","",INDEX('Repayment Schedule'!G7:G2086,MIN(8*'Loan Inputs'!$B$14,Dashboard!$B$13)))</f>
        <v>543809.42734736053</v>
      </c>
      <c r="F14" s="2">
        <f>IF(A14="","",SUMIFS('Repayment Schedule'!D7:D2086,'Repayment Schedule'!A7:A2086,"&gt;="&amp;(7*'Loan Inputs'!$B$14+1),'Repayment Schedule'!A7:A2086,"&lt;="&amp;(MIN(8*'Loan Inputs'!$B$14,Dashboard!$B$13))))</f>
        <v>51738.400413688221</v>
      </c>
      <c r="G14" s="2">
        <f>IF(A14="","",SUMIFS('Repayment Schedule'!H7:H2086,'Repayment Schedule'!A7:A2086,"&gt;="&amp;(7*'Loan Inputs'!$B$14+1),'Repayment Schedule'!A7:A2086,"&lt;="&amp;(MIN(8*'Loan Inputs'!$B$14,Dashboard!$B$13))))</f>
        <v>3000</v>
      </c>
      <c r="H14" s="1"/>
    </row>
    <row r="15" spans="1:8" ht="22" customHeight="1">
      <c r="A15" s="1">
        <f>IF(AND('Loan Inputs'!$B$12,8*'Loan Inputs'!$B$14+1&lt;=Dashboard!$B$13),9,"")</f>
        <v>9</v>
      </c>
      <c r="B15" s="2">
        <f>IF(A15="","",INDEX('Repayment Schedule'!C7:C2086,8*'Loan Inputs'!$B$14+1))</f>
        <v>543809.42734736053</v>
      </c>
      <c r="C15" s="2">
        <f>IF(A15="","",SUMIFS('Repayment Schedule'!F7:F2086,'Repayment Schedule'!A7:A2086,"&gt;="&amp;(8*'Loan Inputs'!$B$14+1),'Repayment Schedule'!A7:A2086,"&lt;="&amp;(MIN(9*'Loan Inputs'!$B$14,Dashboard!$B$13))))</f>
        <v>17495.481195715402</v>
      </c>
      <c r="D15" s="2">
        <f>IF(A15="","",SUMIFS('Repayment Schedule'!E7:E2086,'Repayment Schedule'!A7:A2086,"&gt;="&amp;(8*'Loan Inputs'!$B$14+1),'Repayment Schedule'!A7:A2086,"&lt;="&amp;(MIN(9*'Loan Inputs'!$B$14,Dashboard!$B$13))))</f>
        <v>34242.919217972827</v>
      </c>
      <c r="E15" s="2">
        <f>IF(A15="","",INDEX('Repayment Schedule'!G7:G2086,MIN(9*'Loan Inputs'!$B$14,Dashboard!$B$13)))</f>
        <v>526313.94615164516</v>
      </c>
      <c r="F15" s="2">
        <f>IF(A15="","",SUMIFS('Repayment Schedule'!D7:D2086,'Repayment Schedule'!A7:A2086,"&gt;="&amp;(8*'Loan Inputs'!$B$14+1),'Repayment Schedule'!A7:A2086,"&lt;="&amp;(MIN(9*'Loan Inputs'!$B$14,Dashboard!$B$13))))</f>
        <v>51738.400413688221</v>
      </c>
      <c r="G15" s="2">
        <f>IF(A15="","",SUMIFS('Repayment Schedule'!H7:H2086,'Repayment Schedule'!A7:A2086,"&gt;="&amp;(8*'Loan Inputs'!$B$14+1),'Repayment Schedule'!A7:A2086,"&lt;="&amp;(MIN(9*'Loan Inputs'!$B$14,Dashboard!$B$13))))</f>
        <v>3000</v>
      </c>
      <c r="H15" s="1"/>
    </row>
    <row r="16" spans="1:8" ht="22" customHeight="1">
      <c r="A16" s="1">
        <f>IF(AND('Loan Inputs'!$B$12,9*'Loan Inputs'!$B$14+1&lt;=Dashboard!$B$13),10,"")</f>
        <v>10</v>
      </c>
      <c r="B16" s="2">
        <f>IF(A16="","",INDEX('Repayment Schedule'!C7:C2086,9*'Loan Inputs'!$B$14+1))</f>
        <v>526313.94615164516</v>
      </c>
      <c r="C16" s="2">
        <f>IF(A16="","",SUMIFS('Repayment Schedule'!F7:F2086,'Repayment Schedule'!A7:A2086,"&gt;="&amp;(9*'Loan Inputs'!$B$14+1),'Repayment Schedule'!A7:A2086,"&lt;="&amp;(MIN(10*'Loan Inputs'!$B$14,Dashboard!$B$13))))</f>
        <v>18646.772932740481</v>
      </c>
      <c r="D16" s="2">
        <f>IF(A16="","",SUMIFS('Repayment Schedule'!E7:E2086,'Repayment Schedule'!A7:A2086,"&gt;="&amp;(9*'Loan Inputs'!$B$14+1),'Repayment Schedule'!A7:A2086,"&lt;="&amp;(MIN(10*'Loan Inputs'!$B$14,Dashboard!$B$13))))</f>
        <v>33091.627480947755</v>
      </c>
      <c r="E16" s="2">
        <f>IF(A16="","",INDEX('Repayment Schedule'!G7:G2086,MIN(10*'Loan Inputs'!$B$14,Dashboard!$B$13)))</f>
        <v>507667.1732189047</v>
      </c>
      <c r="F16" s="2">
        <f>IF(A16="","",SUMIFS('Repayment Schedule'!D7:D2086,'Repayment Schedule'!A7:A2086,"&gt;="&amp;(9*'Loan Inputs'!$B$14+1),'Repayment Schedule'!A7:A2086,"&lt;="&amp;(MIN(10*'Loan Inputs'!$B$14,Dashboard!$B$13))))</f>
        <v>51738.400413688221</v>
      </c>
      <c r="G16" s="2">
        <f>IF(A16="","",SUMIFS('Repayment Schedule'!H7:H2086,'Repayment Schedule'!A7:A2086,"&gt;="&amp;(9*'Loan Inputs'!$B$14+1),'Repayment Schedule'!A7:A2086,"&lt;="&amp;(MIN(10*'Loan Inputs'!$B$14,Dashboard!$B$13))))</f>
        <v>3000</v>
      </c>
      <c r="H16" s="1"/>
    </row>
    <row r="17" spans="1:8" ht="22" customHeight="1">
      <c r="A17" s="1">
        <f>IF(AND('Loan Inputs'!$B$12,10*'Loan Inputs'!$B$14+1&lt;=Dashboard!$B$13),11,"")</f>
        <v>11</v>
      </c>
      <c r="B17" s="2">
        <f>IF(A17="","",INDEX('Repayment Schedule'!C7:C2086,10*'Loan Inputs'!$B$14+1))</f>
        <v>507667.1732189047</v>
      </c>
      <c r="C17" s="2">
        <f>IF(A17="","",SUMIFS('Repayment Schedule'!F7:F2086,'Repayment Schedule'!A7:A2086,"&gt;="&amp;(10*'Loan Inputs'!$B$14+1),'Repayment Schedule'!A7:A2086,"&lt;="&amp;(MIN(11*'Loan Inputs'!$B$14,Dashboard!$B$13))))</f>
        <v>19873.82552760734</v>
      </c>
      <c r="D17" s="2">
        <f>IF(A17="","",SUMIFS('Repayment Schedule'!E7:E2086,'Repayment Schedule'!A7:A2086,"&gt;="&amp;(10*'Loan Inputs'!$B$14+1),'Repayment Schedule'!A7:A2086,"&lt;="&amp;(MIN(11*'Loan Inputs'!$B$14,Dashboard!$B$13))))</f>
        <v>31864.5748860809</v>
      </c>
      <c r="E17" s="2">
        <f>IF(A17="","",INDEX('Repayment Schedule'!G7:G2086,MIN(11*'Loan Inputs'!$B$14,Dashboard!$B$13)))</f>
        <v>487793.34769129741</v>
      </c>
      <c r="F17" s="2">
        <f>IF(A17="","",SUMIFS('Repayment Schedule'!D7:D2086,'Repayment Schedule'!A7:A2086,"&gt;="&amp;(10*'Loan Inputs'!$B$14+1),'Repayment Schedule'!A7:A2086,"&lt;="&amp;(MIN(11*'Loan Inputs'!$B$14,Dashboard!$B$13))))</f>
        <v>51738.400413688221</v>
      </c>
      <c r="G17" s="2">
        <f>IF(A17="","",SUMIFS('Repayment Schedule'!H7:H2086,'Repayment Schedule'!A7:A2086,"&gt;="&amp;(10*'Loan Inputs'!$B$14+1),'Repayment Schedule'!A7:A2086,"&lt;="&amp;(MIN(11*'Loan Inputs'!$B$14,Dashboard!$B$13))))</f>
        <v>3000</v>
      </c>
      <c r="H17" s="1"/>
    </row>
    <row r="18" spans="1:8" ht="22" customHeight="1">
      <c r="A18" s="1">
        <f>IF(AND('Loan Inputs'!$B$12,11*'Loan Inputs'!$B$14+1&lt;=Dashboard!$B$13),12,"")</f>
        <v>12</v>
      </c>
      <c r="B18" s="2">
        <f>IF(A18="","",INDEX('Repayment Schedule'!C7:C2086,11*'Loan Inputs'!$B$14+1))</f>
        <v>487793.34769129741</v>
      </c>
      <c r="C18" s="2">
        <f>IF(A18="","",SUMIFS('Repayment Schedule'!F7:F2086,'Repayment Schedule'!A7:A2086,"&gt;="&amp;(11*'Loan Inputs'!$B$14+1),'Repayment Schedule'!A7:A2086,"&lt;="&amp;(MIN(12*'Loan Inputs'!$B$14,Dashboard!$B$13))))</f>
        <v>21181.624430481505</v>
      </c>
      <c r="D18" s="2">
        <f>IF(A18="","",SUMIFS('Repayment Schedule'!E7:E2086,'Repayment Schedule'!A7:A2086,"&gt;="&amp;(11*'Loan Inputs'!$B$14+1),'Repayment Schedule'!A7:A2086,"&lt;="&amp;(MIN(12*'Loan Inputs'!$B$14,Dashboard!$B$13))))</f>
        <v>30556.775983206742</v>
      </c>
      <c r="E18" s="2">
        <f>IF(A18="","",INDEX('Repayment Schedule'!G7:G2086,MIN(12*'Loan Inputs'!$B$14,Dashboard!$B$13)))</f>
        <v>466611.72326081601</v>
      </c>
      <c r="F18" s="2">
        <f>IF(A18="","",SUMIFS('Repayment Schedule'!D7:D2086,'Repayment Schedule'!A7:A2086,"&gt;="&amp;(11*'Loan Inputs'!$B$14+1),'Repayment Schedule'!A7:A2086,"&lt;="&amp;(MIN(12*'Loan Inputs'!$B$14,Dashboard!$B$13))))</f>
        <v>51738.400413688221</v>
      </c>
      <c r="G18" s="2">
        <f>IF(A18="","",SUMIFS('Repayment Schedule'!H7:H2086,'Repayment Schedule'!A7:A2086,"&gt;="&amp;(11*'Loan Inputs'!$B$14+1),'Repayment Schedule'!A7:A2086,"&lt;="&amp;(MIN(12*'Loan Inputs'!$B$14,Dashboard!$B$13))))</f>
        <v>3000</v>
      </c>
      <c r="H18" s="1"/>
    </row>
    <row r="19" spans="1:8" ht="22" customHeight="1">
      <c r="A19" s="1">
        <f>IF(AND('Loan Inputs'!$B$12,12*'Loan Inputs'!$B$14+1&lt;=Dashboard!$B$13),13,"")</f>
        <v>13</v>
      </c>
      <c r="B19" s="2">
        <f>IF(A19="","",INDEX('Repayment Schedule'!C7:C2086,12*'Loan Inputs'!$B$14+1))</f>
        <v>466611.72326081601</v>
      </c>
      <c r="C19" s="2">
        <f>IF(A19="","",SUMIFS('Repayment Schedule'!F7:F2086,'Repayment Schedule'!A7:A2086,"&gt;="&amp;(12*'Loan Inputs'!$B$14+1),'Repayment Schedule'!A7:A2086,"&lt;="&amp;(MIN(13*'Loan Inputs'!$B$14,Dashboard!$B$13))))</f>
        <v>22575.483159531708</v>
      </c>
      <c r="D19" s="2">
        <f>IF(A19="","",SUMIFS('Repayment Schedule'!E7:E2086,'Repayment Schedule'!A7:A2086,"&gt;="&amp;(12*'Loan Inputs'!$B$14+1),'Repayment Schedule'!A7:A2086,"&lt;="&amp;(MIN(13*'Loan Inputs'!$B$14,Dashboard!$B$13))))</f>
        <v>29162.91725415652</v>
      </c>
      <c r="E19" s="2">
        <f>IF(A19="","",INDEX('Repayment Schedule'!G7:G2086,MIN(13*'Loan Inputs'!$B$14,Dashboard!$B$13)))</f>
        <v>444036.24010128435</v>
      </c>
      <c r="F19" s="2">
        <f>IF(A19="","",SUMIFS('Repayment Schedule'!D7:D2086,'Repayment Schedule'!A7:A2086,"&gt;="&amp;(12*'Loan Inputs'!$B$14+1),'Repayment Schedule'!A7:A2086,"&lt;="&amp;(MIN(13*'Loan Inputs'!$B$14,Dashboard!$B$13))))</f>
        <v>51738.400413688221</v>
      </c>
      <c r="G19" s="2">
        <f>IF(A19="","",SUMIFS('Repayment Schedule'!H7:H2086,'Repayment Schedule'!A7:A2086,"&gt;="&amp;(12*'Loan Inputs'!$B$14+1),'Repayment Schedule'!A7:A2086,"&lt;="&amp;(MIN(13*'Loan Inputs'!$B$14,Dashboard!$B$13))))</f>
        <v>3000</v>
      </c>
      <c r="H19" s="1"/>
    </row>
    <row r="20" spans="1:8" ht="22" customHeight="1">
      <c r="A20" s="1">
        <f>IF(AND('Loan Inputs'!$B$12,13*'Loan Inputs'!$B$14+1&lt;=Dashboard!$B$13),14,"")</f>
        <v>14</v>
      </c>
      <c r="B20" s="2">
        <f>IF(A20="","",INDEX('Repayment Schedule'!C7:C2086,13*'Loan Inputs'!$B$14+1))</f>
        <v>444036.24010128435</v>
      </c>
      <c r="C20" s="2">
        <f>IF(A20="","",SUMIFS('Repayment Schedule'!F7:F2086,'Repayment Schedule'!A7:A2086,"&gt;="&amp;(13*'Loan Inputs'!$B$14+1),'Repayment Schedule'!A7:A2086,"&lt;="&amp;(MIN(14*'Loan Inputs'!$B$14,Dashboard!$B$13))))</f>
        <v>24061.064889474794</v>
      </c>
      <c r="D20" s="2">
        <f>IF(A20="","",SUMIFS('Repayment Schedule'!E7:E2086,'Repayment Schedule'!A7:A2086,"&gt;="&amp;(13*'Loan Inputs'!$B$14+1),'Repayment Schedule'!A7:A2086,"&lt;="&amp;(MIN(14*'Loan Inputs'!$B$14,Dashboard!$B$13))))</f>
        <v>27677.335524213442</v>
      </c>
      <c r="E20" s="2">
        <f>IF(A20="","",INDEX('Repayment Schedule'!G7:G2086,MIN(14*'Loan Inputs'!$B$14,Dashboard!$B$13)))</f>
        <v>419975.17521180952</v>
      </c>
      <c r="F20" s="2">
        <f>IF(A20="","",SUMIFS('Repayment Schedule'!D7:D2086,'Repayment Schedule'!A7:A2086,"&gt;="&amp;(13*'Loan Inputs'!$B$14+1),'Repayment Schedule'!A7:A2086,"&lt;="&amp;(MIN(14*'Loan Inputs'!$B$14,Dashboard!$B$13))))</f>
        <v>51738.400413688221</v>
      </c>
      <c r="G20" s="2">
        <f>IF(A20="","",SUMIFS('Repayment Schedule'!H7:H2086,'Repayment Schedule'!A7:A2086,"&gt;="&amp;(13*'Loan Inputs'!$B$14+1),'Repayment Schedule'!A7:A2086,"&lt;="&amp;(MIN(14*'Loan Inputs'!$B$14,Dashboard!$B$13))))</f>
        <v>3000</v>
      </c>
      <c r="H20" s="1"/>
    </row>
    <row r="21" spans="1:8" ht="22" customHeight="1">
      <c r="A21" s="1">
        <f>IF(AND('Loan Inputs'!$B$12,14*'Loan Inputs'!$B$14+1&lt;=Dashboard!$B$13),15,"")</f>
        <v>15</v>
      </c>
      <c r="B21" s="2">
        <f>IF(A21="","",INDEX('Repayment Schedule'!C7:C2086,14*'Loan Inputs'!$B$14+1))</f>
        <v>419975.17521180952</v>
      </c>
      <c r="C21" s="2">
        <f>IF(A21="","",SUMIFS('Repayment Schedule'!F7:F2086,'Repayment Schedule'!A7:A2086,"&gt;="&amp;(14*'Loan Inputs'!$B$14+1),'Repayment Schedule'!A7:A2086,"&lt;="&amp;(MIN(15*'Loan Inputs'!$B$14,Dashboard!$B$13))))</f>
        <v>25644.405460756738</v>
      </c>
      <c r="D21" s="2">
        <f>IF(A21="","",SUMIFS('Repayment Schedule'!E7:E2086,'Repayment Schedule'!A7:A2086,"&gt;="&amp;(14*'Loan Inputs'!$B$14+1),'Repayment Schedule'!A7:A2086,"&lt;="&amp;(MIN(15*'Loan Inputs'!$B$14,Dashboard!$B$13))))</f>
        <v>26093.994952931498</v>
      </c>
      <c r="E21" s="2">
        <f>IF(A21="","",INDEX('Repayment Schedule'!G7:G2086,MIN(15*'Loan Inputs'!$B$14,Dashboard!$B$13)))</f>
        <v>394330.76975105272</v>
      </c>
      <c r="F21" s="2">
        <f>IF(A21="","",SUMIFS('Repayment Schedule'!D7:D2086,'Repayment Schedule'!A7:A2086,"&gt;="&amp;(14*'Loan Inputs'!$B$14+1),'Repayment Schedule'!A7:A2086,"&lt;="&amp;(MIN(15*'Loan Inputs'!$B$14,Dashboard!$B$13))))</f>
        <v>51738.400413688221</v>
      </c>
      <c r="G21" s="2">
        <f>IF(A21="","",SUMIFS('Repayment Schedule'!H7:H2086,'Repayment Schedule'!A7:A2086,"&gt;="&amp;(14*'Loan Inputs'!$B$14+1),'Repayment Schedule'!A7:A2086,"&lt;="&amp;(MIN(15*'Loan Inputs'!$B$14,Dashboard!$B$13))))</f>
        <v>3000</v>
      </c>
      <c r="H21" s="1"/>
    </row>
    <row r="22" spans="1:8" ht="22" customHeight="1">
      <c r="A22" s="1">
        <f>IF(AND('Loan Inputs'!$B$12,15*'Loan Inputs'!$B$14+1&lt;=Dashboard!$B$13),16,"")</f>
        <v>16</v>
      </c>
      <c r="B22" s="2">
        <f>IF(A22="","",INDEX('Repayment Schedule'!C7:C2086,15*'Loan Inputs'!$B$14+1))</f>
        <v>394330.76975105272</v>
      </c>
      <c r="C22" s="2">
        <f>IF(A22="","",SUMIFS('Repayment Schedule'!F7:F2086,'Repayment Schedule'!A7:A2086,"&gt;="&amp;(15*'Loan Inputs'!$B$14+1),'Repayment Schedule'!A7:A2086,"&lt;="&amp;(MIN(16*'Loan Inputs'!$B$14,Dashboard!$B$13))))</f>
        <v>27331.937902855003</v>
      </c>
      <c r="D22" s="2">
        <f>IF(A22="","",SUMIFS('Repayment Schedule'!E7:E2086,'Repayment Schedule'!A7:A2086,"&gt;="&amp;(15*'Loan Inputs'!$B$14+1),'Repayment Schedule'!A7:A2086,"&lt;="&amp;(MIN(16*'Loan Inputs'!$B$14,Dashboard!$B$13))))</f>
        <v>24406.462510833229</v>
      </c>
      <c r="E22" s="2">
        <f>IF(A22="","",INDEX('Repayment Schedule'!G7:G2086,MIN(16*'Loan Inputs'!$B$14,Dashboard!$B$13)))</f>
        <v>366998.83184819773</v>
      </c>
      <c r="F22" s="2">
        <f>IF(A22="","",SUMIFS('Repayment Schedule'!D7:D2086,'Repayment Schedule'!A7:A2086,"&gt;="&amp;(15*'Loan Inputs'!$B$14+1),'Repayment Schedule'!A7:A2086,"&lt;="&amp;(MIN(16*'Loan Inputs'!$B$14,Dashboard!$B$13))))</f>
        <v>51738.400413688221</v>
      </c>
      <c r="G22" s="2">
        <f>IF(A22="","",SUMIFS('Repayment Schedule'!H7:H2086,'Repayment Schedule'!A7:A2086,"&gt;="&amp;(15*'Loan Inputs'!$B$14+1),'Repayment Schedule'!A7:A2086,"&lt;="&amp;(MIN(16*'Loan Inputs'!$B$14,Dashboard!$B$13))))</f>
        <v>3000</v>
      </c>
      <c r="H22" s="1"/>
    </row>
    <row r="23" spans="1:8" ht="22" customHeight="1">
      <c r="A23" s="1">
        <f>IF(AND('Loan Inputs'!$B$12,16*'Loan Inputs'!$B$14+1&lt;=Dashboard!$B$13),17,"")</f>
        <v>17</v>
      </c>
      <c r="B23" s="2">
        <f>IF(A23="","",INDEX('Repayment Schedule'!C7:C2086,16*'Loan Inputs'!$B$14+1))</f>
        <v>366998.83184819773</v>
      </c>
      <c r="C23" s="2">
        <f>IF(A23="","",SUMIFS('Repayment Schedule'!F7:F2086,'Repayment Schedule'!A7:A2086,"&gt;="&amp;(16*'Loan Inputs'!$B$14+1),'Repayment Schedule'!A7:A2086,"&lt;="&amp;(MIN(17*'Loan Inputs'!$B$14,Dashboard!$B$13))))</f>
        <v>29130.51857133902</v>
      </c>
      <c r="D23" s="2">
        <f>IF(A23="","",SUMIFS('Repayment Schedule'!E7:E2086,'Repayment Schedule'!A7:A2086,"&gt;="&amp;(16*'Loan Inputs'!$B$14+1),'Repayment Schedule'!A7:A2086,"&lt;="&amp;(MIN(17*'Loan Inputs'!$B$14,Dashboard!$B$13))))</f>
        <v>22607.881842349216</v>
      </c>
      <c r="E23" s="2">
        <f>IF(A23="","",INDEX('Repayment Schedule'!G7:G2086,MIN(17*'Loan Inputs'!$B$14,Dashboard!$B$13)))</f>
        <v>337868.31327685865</v>
      </c>
      <c r="F23" s="2">
        <f>IF(A23="","",SUMIFS('Repayment Schedule'!D7:D2086,'Repayment Schedule'!A7:A2086,"&gt;="&amp;(16*'Loan Inputs'!$B$14+1),'Repayment Schedule'!A7:A2086,"&lt;="&amp;(MIN(17*'Loan Inputs'!$B$14,Dashboard!$B$13))))</f>
        <v>51738.400413688221</v>
      </c>
      <c r="G23" s="2">
        <f>IF(A23="","",SUMIFS('Repayment Schedule'!H7:H2086,'Repayment Schedule'!A7:A2086,"&gt;="&amp;(16*'Loan Inputs'!$B$14+1),'Repayment Schedule'!A7:A2086,"&lt;="&amp;(MIN(17*'Loan Inputs'!$B$14,Dashboard!$B$13))))</f>
        <v>3000</v>
      </c>
      <c r="H23" s="1"/>
    </row>
    <row r="24" spans="1:8" ht="22" customHeight="1">
      <c r="A24" s="1">
        <f>IF(AND('Loan Inputs'!$B$12,17*'Loan Inputs'!$B$14+1&lt;=Dashboard!$B$13),18,"")</f>
        <v>18</v>
      </c>
      <c r="B24" s="2">
        <f>IF(A24="","",INDEX('Repayment Schedule'!C7:C2086,17*'Loan Inputs'!$B$14+1))</f>
        <v>337868.31327685865</v>
      </c>
      <c r="C24" s="2">
        <f>IF(A24="","",SUMIFS('Repayment Schedule'!F7:F2086,'Repayment Schedule'!A7:A2086,"&gt;="&amp;(17*'Loan Inputs'!$B$14+1),'Repayment Schedule'!A7:A2086,"&lt;="&amp;(MIN(18*'Loan Inputs'!$B$14,Dashboard!$B$13))))</f>
        <v>31047.455004882297</v>
      </c>
      <c r="D24" s="2">
        <f>IF(A24="","",SUMIFS('Repayment Schedule'!E7:E2086,'Repayment Schedule'!A7:A2086,"&gt;="&amp;(17*'Loan Inputs'!$B$14+1),'Repayment Schedule'!A7:A2086,"&lt;="&amp;(MIN(18*'Loan Inputs'!$B$14,Dashboard!$B$13))))</f>
        <v>20690.945408805939</v>
      </c>
      <c r="E24" s="2">
        <f>IF(A24="","",INDEX('Repayment Schedule'!G7:G2086,MIN(18*'Loan Inputs'!$B$14,Dashboard!$B$13)))</f>
        <v>306820.85827197635</v>
      </c>
      <c r="F24" s="2">
        <f>IF(A24="","",SUMIFS('Repayment Schedule'!D7:D2086,'Repayment Schedule'!A7:A2086,"&gt;="&amp;(17*'Loan Inputs'!$B$14+1),'Repayment Schedule'!A7:A2086,"&lt;="&amp;(MIN(18*'Loan Inputs'!$B$14,Dashboard!$B$13))))</f>
        <v>51738.400413688221</v>
      </c>
      <c r="G24" s="2">
        <f>IF(A24="","",SUMIFS('Repayment Schedule'!H7:H2086,'Repayment Schedule'!A7:A2086,"&gt;="&amp;(17*'Loan Inputs'!$B$14+1),'Repayment Schedule'!A7:A2086,"&lt;="&amp;(MIN(18*'Loan Inputs'!$B$14,Dashboard!$B$13))))</f>
        <v>3000</v>
      </c>
      <c r="H24" s="1"/>
    </row>
    <row r="25" spans="1:8" ht="22" customHeight="1">
      <c r="A25" s="1">
        <f>IF(AND('Loan Inputs'!$B$12,18*'Loan Inputs'!$B$14+1&lt;=Dashboard!$B$13),19,"")</f>
        <v>19</v>
      </c>
      <c r="B25" s="2">
        <f>IF(A25="","",INDEX('Repayment Schedule'!C7:C2086,18*'Loan Inputs'!$B$14+1))</f>
        <v>306820.85827197635</v>
      </c>
      <c r="C25" s="2">
        <f>IF(A25="","",SUMIFS('Repayment Schedule'!F7:F2086,'Repayment Schedule'!A7:A2086,"&gt;="&amp;(18*'Loan Inputs'!$B$14+1),'Repayment Schedule'!A7:A2086,"&lt;="&amp;(MIN(19*'Loan Inputs'!$B$14,Dashboard!$B$13))))</f>
        <v>33090.535615407745</v>
      </c>
      <c r="D25" s="2">
        <f>IF(A25="","",SUMIFS('Repayment Schedule'!E7:E2086,'Repayment Schedule'!A7:A2086,"&gt;="&amp;(18*'Loan Inputs'!$B$14+1),'Repayment Schedule'!A7:A2086,"&lt;="&amp;(MIN(19*'Loan Inputs'!$B$14,Dashboard!$B$13))))</f>
        <v>18647.864798280487</v>
      </c>
      <c r="E25" s="2">
        <f>IF(A25="","",INDEX('Repayment Schedule'!G7:G2086,MIN(19*'Loan Inputs'!$B$14,Dashboard!$B$13)))</f>
        <v>273730.32265656861</v>
      </c>
      <c r="F25" s="2">
        <f>IF(A25="","",SUMIFS('Repayment Schedule'!D7:D2086,'Repayment Schedule'!A7:A2086,"&gt;="&amp;(18*'Loan Inputs'!$B$14+1),'Repayment Schedule'!A7:A2086,"&lt;="&amp;(MIN(19*'Loan Inputs'!$B$14,Dashboard!$B$13))))</f>
        <v>51738.400413688221</v>
      </c>
      <c r="G25" s="2">
        <f>IF(A25="","",SUMIFS('Repayment Schedule'!H7:H2086,'Repayment Schedule'!A7:A2086,"&gt;="&amp;(18*'Loan Inputs'!$B$14+1),'Repayment Schedule'!A7:A2086,"&lt;="&amp;(MIN(19*'Loan Inputs'!$B$14,Dashboard!$B$13))))</f>
        <v>3000</v>
      </c>
      <c r="H25" s="1"/>
    </row>
    <row r="26" spans="1:8" ht="22" customHeight="1">
      <c r="A26" s="1">
        <f>IF(AND('Loan Inputs'!$B$12,19*'Loan Inputs'!$B$14+1&lt;=Dashboard!$B$13),20,"")</f>
        <v>20</v>
      </c>
      <c r="B26" s="2">
        <f>IF(A26="","",INDEX('Repayment Schedule'!C7:C2086,19*'Loan Inputs'!$B$14+1))</f>
        <v>273730.32265656861</v>
      </c>
      <c r="C26" s="2">
        <f>IF(A26="","",SUMIFS('Repayment Schedule'!F7:F2086,'Repayment Schedule'!A7:A2086,"&gt;="&amp;(19*'Loan Inputs'!$B$14+1),'Repayment Schedule'!A7:A2086,"&lt;="&amp;(MIN(20*'Loan Inputs'!$B$14,Dashboard!$B$13))))</f>
        <v>35268.061331995785</v>
      </c>
      <c r="D26" s="2">
        <f>IF(A26="","",SUMIFS('Repayment Schedule'!E7:E2086,'Repayment Schedule'!A7:A2086,"&gt;="&amp;(19*'Loan Inputs'!$B$14+1),'Repayment Schedule'!A7:A2086,"&lt;="&amp;(MIN(20*'Loan Inputs'!$B$14,Dashboard!$B$13))))</f>
        <v>16470.339081692444</v>
      </c>
      <c r="E26" s="2">
        <f>IF(A26="","",INDEX('Repayment Schedule'!G7:G2086,MIN(20*'Loan Inputs'!$B$14,Dashboard!$B$13)))</f>
        <v>238462.26132457287</v>
      </c>
      <c r="F26" s="2">
        <f>IF(A26="","",SUMIFS('Repayment Schedule'!D7:D2086,'Repayment Schedule'!A7:A2086,"&gt;="&amp;(19*'Loan Inputs'!$B$14+1),'Repayment Schedule'!A7:A2086,"&lt;="&amp;(MIN(20*'Loan Inputs'!$B$14,Dashboard!$B$13))))</f>
        <v>51738.400413688221</v>
      </c>
      <c r="G26" s="2">
        <f>IF(A26="","",SUMIFS('Repayment Schedule'!H7:H2086,'Repayment Schedule'!A7:A2086,"&gt;="&amp;(19*'Loan Inputs'!$B$14+1),'Repayment Schedule'!A7:A2086,"&lt;="&amp;(MIN(20*'Loan Inputs'!$B$14,Dashboard!$B$13))))</f>
        <v>3000</v>
      </c>
      <c r="H26" s="1"/>
    </row>
    <row r="27" spans="1:8" ht="22" customHeight="1">
      <c r="A27" s="1">
        <f>IF(AND('Loan Inputs'!$B$12,20*'Loan Inputs'!$B$14+1&lt;=Dashboard!$B$13),21,"")</f>
        <v>21</v>
      </c>
      <c r="B27" s="2">
        <f>IF(A27="","",INDEX('Repayment Schedule'!C7:C2086,20*'Loan Inputs'!$B$14+1))</f>
        <v>238462.26132457287</v>
      </c>
      <c r="C27" s="2">
        <f>IF(A27="","",SUMIFS('Repayment Schedule'!F7:F2086,'Repayment Schedule'!A7:A2086,"&gt;="&amp;(20*'Loan Inputs'!$B$14+1),'Repayment Schedule'!A7:A2086,"&lt;="&amp;(MIN(21*'Loan Inputs'!$B$14,Dashboard!$B$13))))</f>
        <v>37588.879327122668</v>
      </c>
      <c r="D27" s="2">
        <f>IF(A27="","",SUMIFS('Repayment Schedule'!E7:E2086,'Repayment Schedule'!A7:A2086,"&gt;="&amp;(20*'Loan Inputs'!$B$14+1),'Repayment Schedule'!A7:A2086,"&lt;="&amp;(MIN(21*'Loan Inputs'!$B$14,Dashboard!$B$13))))</f>
        <v>14149.521086565568</v>
      </c>
      <c r="E27" s="2">
        <f>IF(A27="","",INDEX('Repayment Schedule'!G7:G2086,MIN(21*'Loan Inputs'!$B$14,Dashboard!$B$13)))</f>
        <v>200873.3819974502</v>
      </c>
      <c r="F27" s="2">
        <f>IF(A27="","",SUMIFS('Repayment Schedule'!D7:D2086,'Repayment Schedule'!A7:A2086,"&gt;="&amp;(20*'Loan Inputs'!$B$14+1),'Repayment Schedule'!A7:A2086,"&lt;="&amp;(MIN(21*'Loan Inputs'!$B$14,Dashboard!$B$13))))</f>
        <v>51738.400413688221</v>
      </c>
      <c r="G27" s="2">
        <f>IF(A27="","",SUMIFS('Repayment Schedule'!H7:H2086,'Repayment Schedule'!A7:A2086,"&gt;="&amp;(20*'Loan Inputs'!$B$14+1),'Repayment Schedule'!A7:A2086,"&lt;="&amp;(MIN(21*'Loan Inputs'!$B$14,Dashboard!$B$13))))</f>
        <v>3000</v>
      </c>
      <c r="H27" s="1"/>
    </row>
    <row r="28" spans="1:8" ht="22" customHeight="1">
      <c r="A28" s="1">
        <f>IF(AND('Loan Inputs'!$B$12,21*'Loan Inputs'!$B$14+1&lt;=Dashboard!$B$13),22,"")</f>
        <v>22</v>
      </c>
      <c r="B28" s="2">
        <f>IF(A28="","",INDEX('Repayment Schedule'!C7:C2086,21*'Loan Inputs'!$B$14+1))</f>
        <v>200873.3819974502</v>
      </c>
      <c r="C28" s="2">
        <f>IF(A28="","",SUMIFS('Repayment Schedule'!F7:F2086,'Repayment Schedule'!A7:A2086,"&gt;="&amp;(21*'Loan Inputs'!$B$14+1),'Repayment Schedule'!A7:A2086,"&lt;="&amp;(MIN(22*'Loan Inputs'!$B$14,Dashboard!$B$13))))</f>
        <v>40062.418962256968</v>
      </c>
      <c r="D28" s="2">
        <f>IF(A28="","",SUMIFS('Repayment Schedule'!E7:E2086,'Repayment Schedule'!A7:A2086,"&gt;="&amp;(21*'Loan Inputs'!$B$14+1),'Repayment Schedule'!A7:A2086,"&lt;="&amp;(MIN(22*'Loan Inputs'!$B$14,Dashboard!$B$13))))</f>
        <v>11675.981451431264</v>
      </c>
      <c r="E28" s="2">
        <f>IF(A28="","",INDEX('Repayment Schedule'!G7:G2086,MIN(22*'Loan Inputs'!$B$14,Dashboard!$B$13)))</f>
        <v>160810.96303519324</v>
      </c>
      <c r="F28" s="2">
        <f>IF(A28="","",SUMIFS('Repayment Schedule'!D7:D2086,'Repayment Schedule'!A7:A2086,"&gt;="&amp;(21*'Loan Inputs'!$B$14+1),'Repayment Schedule'!A7:A2086,"&lt;="&amp;(MIN(22*'Loan Inputs'!$B$14,Dashboard!$B$13))))</f>
        <v>51738.400413688221</v>
      </c>
      <c r="G28" s="2">
        <f>IF(A28="","",SUMIFS('Repayment Schedule'!H7:H2086,'Repayment Schedule'!A7:A2086,"&gt;="&amp;(21*'Loan Inputs'!$B$14+1),'Repayment Schedule'!A7:A2086,"&lt;="&amp;(MIN(22*'Loan Inputs'!$B$14,Dashboard!$B$13))))</f>
        <v>3000</v>
      </c>
      <c r="H28" s="1"/>
    </row>
    <row r="29" spans="1:8" ht="22" customHeight="1">
      <c r="A29" s="1">
        <f>IF(AND('Loan Inputs'!$B$12,22*'Loan Inputs'!$B$14+1&lt;=Dashboard!$B$13),23,"")</f>
        <v>23</v>
      </c>
      <c r="B29" s="2">
        <f>IF(A29="","",INDEX('Repayment Schedule'!C7:C2086,22*'Loan Inputs'!$B$14+1))</f>
        <v>160810.96303519324</v>
      </c>
      <c r="C29" s="2">
        <f>IF(A29="","",SUMIFS('Repayment Schedule'!F7:F2086,'Repayment Schedule'!A7:A2086,"&gt;="&amp;(22*'Loan Inputs'!$B$14+1),'Repayment Schedule'!A7:A2086,"&lt;="&amp;(MIN(23*'Loan Inputs'!$B$14,Dashboard!$B$13))))</f>
        <v>42698.730098859414</v>
      </c>
      <c r="D29" s="2">
        <f>IF(A29="","",SUMIFS('Repayment Schedule'!E7:E2086,'Repayment Schedule'!A7:A2086,"&gt;="&amp;(22*'Loan Inputs'!$B$14+1),'Repayment Schedule'!A7:A2086,"&lt;="&amp;(MIN(23*'Loan Inputs'!$B$14,Dashboard!$B$13))))</f>
        <v>9039.670314828827</v>
      </c>
      <c r="E29" s="2">
        <f>IF(A29="","",INDEX('Repayment Schedule'!G7:G2086,MIN(23*'Loan Inputs'!$B$14,Dashboard!$B$13)))</f>
        <v>118112.23293633386</v>
      </c>
      <c r="F29" s="2">
        <f>IF(A29="","",SUMIFS('Repayment Schedule'!D7:D2086,'Repayment Schedule'!A7:A2086,"&gt;="&amp;(22*'Loan Inputs'!$B$14+1),'Repayment Schedule'!A7:A2086,"&lt;="&amp;(MIN(23*'Loan Inputs'!$B$14,Dashboard!$B$13))))</f>
        <v>51738.400413688221</v>
      </c>
      <c r="G29" s="2">
        <f>IF(A29="","",SUMIFS('Repayment Schedule'!H7:H2086,'Repayment Schedule'!A7:A2086,"&gt;="&amp;(22*'Loan Inputs'!$B$14+1),'Repayment Schedule'!A7:A2086,"&lt;="&amp;(MIN(23*'Loan Inputs'!$B$14,Dashboard!$B$13))))</f>
        <v>3000</v>
      </c>
      <c r="H29" s="1"/>
    </row>
    <row r="30" spans="1:8" ht="22" customHeight="1">
      <c r="A30" s="1">
        <f>IF(AND('Loan Inputs'!$B$12,23*'Loan Inputs'!$B$14+1&lt;=Dashboard!$B$13),24,"")</f>
        <v>24</v>
      </c>
      <c r="B30" s="2">
        <f>IF(A30="","",INDEX('Repayment Schedule'!C7:C2086,23*'Loan Inputs'!$B$14+1))</f>
        <v>118112.23293633386</v>
      </c>
      <c r="C30" s="2">
        <f>IF(A30="","",SUMIFS('Repayment Schedule'!F7:F2086,'Repayment Schedule'!A7:A2086,"&gt;="&amp;(23*'Loan Inputs'!$B$14+1),'Repayment Schedule'!A7:A2086,"&lt;="&amp;(MIN(24*'Loan Inputs'!$B$14,Dashboard!$B$13))))</f>
        <v>45508.523930441443</v>
      </c>
      <c r="D30" s="2">
        <f>IF(A30="","",SUMIFS('Repayment Schedule'!E7:E2086,'Repayment Schedule'!A7:A2086,"&gt;="&amp;(23*'Loan Inputs'!$B$14+1),'Repayment Schedule'!A7:A2086,"&lt;="&amp;(MIN(24*'Loan Inputs'!$B$14,Dashboard!$B$13))))</f>
        <v>6229.8764832467914</v>
      </c>
      <c r="E30" s="2">
        <f>IF(A30="","",INDEX('Repayment Schedule'!G7:G2086,MIN(24*'Loan Inputs'!$B$14,Dashboard!$B$13)))</f>
        <v>72603.709005892422</v>
      </c>
      <c r="F30" s="2">
        <f>IF(A30="","",SUMIFS('Repayment Schedule'!D7:D2086,'Repayment Schedule'!A7:A2086,"&gt;="&amp;(23*'Loan Inputs'!$B$14+1),'Repayment Schedule'!A7:A2086,"&lt;="&amp;(MIN(24*'Loan Inputs'!$B$14,Dashboard!$B$13))))</f>
        <v>51738.400413688221</v>
      </c>
      <c r="G30" s="2">
        <f>IF(A30="","",SUMIFS('Repayment Schedule'!H7:H2086,'Repayment Schedule'!A7:A2086,"&gt;="&amp;(23*'Loan Inputs'!$B$14+1),'Repayment Schedule'!A7:A2086,"&lt;="&amp;(MIN(24*'Loan Inputs'!$B$14,Dashboard!$B$13))))</f>
        <v>3000</v>
      </c>
      <c r="H30" s="1"/>
    </row>
    <row r="31" spans="1:8" ht="22" customHeight="1">
      <c r="A31" s="1">
        <f>IF(AND('Loan Inputs'!$B$12,24*'Loan Inputs'!$B$14+1&lt;=Dashboard!$B$13),25,"")</f>
        <v>25</v>
      </c>
      <c r="B31" s="2">
        <f>IF(A31="","",INDEX('Repayment Schedule'!C7:C2086,24*'Loan Inputs'!$B$14+1))</f>
        <v>72603.709005892422</v>
      </c>
      <c r="C31" s="2">
        <f>IF(A31="","",SUMIFS('Repayment Schedule'!F7:F2086,'Repayment Schedule'!A7:A2086,"&gt;="&amp;(24*'Loan Inputs'!$B$14+1),'Repayment Schedule'!A7:A2086,"&lt;="&amp;(MIN(25*'Loan Inputs'!$B$14,Dashboard!$B$13))))</f>
        <v>48503.21650158125</v>
      </c>
      <c r="D31" s="2">
        <f>IF(A31="","",SUMIFS('Repayment Schedule'!E7:E2086,'Repayment Schedule'!A7:A2086,"&gt;="&amp;(24*'Loan Inputs'!$B$14+1),'Repayment Schedule'!A7:A2086,"&lt;="&amp;(MIN(25*'Loan Inputs'!$B$14,Dashboard!$B$13))))</f>
        <v>3235.1839121069875</v>
      </c>
      <c r="E31" s="2">
        <f>IF(A31="","",INDEX('Repayment Schedule'!G7:G2086,MIN(25*'Loan Inputs'!$B$14,Dashboard!$B$13)))</f>
        <v>24100.492504311165</v>
      </c>
      <c r="F31" s="2">
        <f>IF(A31="","",SUMIFS('Repayment Schedule'!D7:D2086,'Repayment Schedule'!A7:A2086,"&gt;="&amp;(24*'Loan Inputs'!$B$14+1),'Repayment Schedule'!A7:A2086,"&lt;="&amp;(MIN(25*'Loan Inputs'!$B$14,Dashboard!$B$13))))</f>
        <v>51738.400413688221</v>
      </c>
      <c r="G31" s="2">
        <f>IF(A31="","",SUMIFS('Repayment Schedule'!H7:H2086,'Repayment Schedule'!A7:A2086,"&gt;="&amp;(24*'Loan Inputs'!$B$14+1),'Repayment Schedule'!A7:A2086,"&lt;="&amp;(MIN(25*'Loan Inputs'!$B$14,Dashboard!$B$13))))</f>
        <v>3000</v>
      </c>
      <c r="H31" s="1"/>
    </row>
    <row r="32" spans="1:8" ht="22" customHeight="1">
      <c r="A32" s="1">
        <f>IF(AND('Loan Inputs'!$B$12,25*'Loan Inputs'!$B$14+1&lt;=Dashboard!$B$13),26,"")</f>
        <v>26</v>
      </c>
      <c r="B32" s="2">
        <f>IF(A32="","",INDEX('Repayment Schedule'!C7:C2086,25*'Loan Inputs'!$B$14+1))</f>
        <v>24100.492504311165</v>
      </c>
      <c r="C32" s="2">
        <f>IF(A32="","",SUMIFS('Repayment Schedule'!F7:F2086,'Repayment Schedule'!A7:A2086,"&gt;="&amp;(25*'Loan Inputs'!$B$14+1),'Repayment Schedule'!A7:A2086,"&lt;="&amp;(MIN(26*'Loan Inputs'!$B$14,Dashboard!$B$13))))</f>
        <v>24100.492504311169</v>
      </c>
      <c r="D32" s="2">
        <f>IF(A32="","",SUMIFS('Repayment Schedule'!E7:E2086,'Repayment Schedule'!A7:A2086,"&gt;="&amp;(25*'Loan Inputs'!$B$14+1),'Repayment Schedule'!A7:A2086,"&lt;="&amp;(MIN(26*'Loan Inputs'!$B$14,Dashboard!$B$13))))</f>
        <v>433.49593691319052</v>
      </c>
      <c r="E32" s="2">
        <f>IF(A32="","",INDEX('Repayment Schedule'!G7:G2086,MIN(26*'Loan Inputs'!$B$14,Dashboard!$B$13)))</f>
        <v>0</v>
      </c>
      <c r="F32" s="2">
        <f>IF(A32="","",SUMIFS('Repayment Schedule'!D7:D2086,'Repayment Schedule'!A7:A2086,"&gt;="&amp;(25*'Loan Inputs'!$B$14+1),'Repayment Schedule'!A7:A2086,"&lt;="&amp;(MIN(26*'Loan Inputs'!$B$14,Dashboard!$B$13))))</f>
        <v>24533.988441224355</v>
      </c>
      <c r="G32" s="2">
        <f>IF(A32="","",SUMIFS('Repayment Schedule'!H7:H2086,'Repayment Schedule'!A7:A2086,"&gt;="&amp;(25*'Loan Inputs'!$B$14+1),'Repayment Schedule'!A7:A2086,"&lt;="&amp;(MIN(26*'Loan Inputs'!$B$14,Dashboard!$B$13))))</f>
        <v>1250</v>
      </c>
      <c r="H32" s="1"/>
    </row>
    <row r="33" spans="1:8" ht="22" customHeight="1">
      <c r="A33" s="1" t="str">
        <f>IF(AND('Loan Inputs'!$B$12,26*'Loan Inputs'!$B$14+1&lt;=Dashboard!$B$13),27,"")</f>
        <v/>
      </c>
      <c r="B33" s="2" t="str">
        <f>IF(A33="","",INDEX('Repayment Schedule'!C7:C2086,26*'Loan Inputs'!$B$14+1))</f>
        <v/>
      </c>
      <c r="C33" s="2" t="str">
        <f>IF(A33="","",SUMIFS('Repayment Schedule'!F7:F2086,'Repayment Schedule'!A7:A2086,"&gt;="&amp;(26*'Loan Inputs'!$B$14+1),'Repayment Schedule'!A7:A2086,"&lt;="&amp;(MIN(27*'Loan Inputs'!$B$14,Dashboard!$B$13))))</f>
        <v/>
      </c>
      <c r="D33" s="2" t="str">
        <f>IF(A33="","",SUMIFS('Repayment Schedule'!E7:E2086,'Repayment Schedule'!A7:A2086,"&gt;="&amp;(26*'Loan Inputs'!$B$14+1),'Repayment Schedule'!A7:A2086,"&lt;="&amp;(MIN(27*'Loan Inputs'!$B$14,Dashboard!$B$13))))</f>
        <v/>
      </c>
      <c r="E33" s="2" t="str">
        <f>IF(A33="","",INDEX('Repayment Schedule'!G7:G2086,MIN(27*'Loan Inputs'!$B$14,Dashboard!$B$13)))</f>
        <v/>
      </c>
      <c r="F33" s="2" t="str">
        <f>IF(A33="","",SUMIFS('Repayment Schedule'!D7:D2086,'Repayment Schedule'!A7:A2086,"&gt;="&amp;(26*'Loan Inputs'!$B$14+1),'Repayment Schedule'!A7:A2086,"&lt;="&amp;(MIN(27*'Loan Inputs'!$B$14,Dashboard!$B$13))))</f>
        <v/>
      </c>
      <c r="G33" s="2" t="str">
        <f>IF(A33="","",SUMIFS('Repayment Schedule'!H7:H2086,'Repayment Schedule'!A7:A2086,"&gt;="&amp;(26*'Loan Inputs'!$B$14+1),'Repayment Schedule'!A7:A2086,"&lt;="&amp;(MIN(27*'Loan Inputs'!$B$14,Dashboard!$B$13))))</f>
        <v/>
      </c>
      <c r="H33" s="1"/>
    </row>
    <row r="34" spans="1:8" ht="22" customHeight="1">
      <c r="A34" s="1" t="str">
        <f>IF(AND('Loan Inputs'!$B$12,27*'Loan Inputs'!$B$14+1&lt;=Dashboard!$B$13),28,"")</f>
        <v/>
      </c>
      <c r="B34" s="2" t="str">
        <f>IF(A34="","",INDEX('Repayment Schedule'!C7:C2086,27*'Loan Inputs'!$B$14+1))</f>
        <v/>
      </c>
      <c r="C34" s="2" t="str">
        <f>IF(A34="","",SUMIFS('Repayment Schedule'!F7:F2086,'Repayment Schedule'!A7:A2086,"&gt;="&amp;(27*'Loan Inputs'!$B$14+1),'Repayment Schedule'!A7:A2086,"&lt;="&amp;(MIN(28*'Loan Inputs'!$B$14,Dashboard!$B$13))))</f>
        <v/>
      </c>
      <c r="D34" s="2" t="str">
        <f>IF(A34="","",SUMIFS('Repayment Schedule'!E7:E2086,'Repayment Schedule'!A7:A2086,"&gt;="&amp;(27*'Loan Inputs'!$B$14+1),'Repayment Schedule'!A7:A2086,"&lt;="&amp;(MIN(28*'Loan Inputs'!$B$14,Dashboard!$B$13))))</f>
        <v/>
      </c>
      <c r="E34" s="2" t="str">
        <f>IF(A34="","",INDEX('Repayment Schedule'!G7:G2086,MIN(28*'Loan Inputs'!$B$14,Dashboard!$B$13)))</f>
        <v/>
      </c>
      <c r="F34" s="2" t="str">
        <f>IF(A34="","",SUMIFS('Repayment Schedule'!D7:D2086,'Repayment Schedule'!A7:A2086,"&gt;="&amp;(27*'Loan Inputs'!$B$14+1),'Repayment Schedule'!A7:A2086,"&lt;="&amp;(MIN(28*'Loan Inputs'!$B$14,Dashboard!$B$13))))</f>
        <v/>
      </c>
      <c r="G34" s="2" t="str">
        <f>IF(A34="","",SUMIFS('Repayment Schedule'!H7:H2086,'Repayment Schedule'!A7:A2086,"&gt;="&amp;(27*'Loan Inputs'!$B$14+1),'Repayment Schedule'!A7:A2086,"&lt;="&amp;(MIN(28*'Loan Inputs'!$B$14,Dashboard!$B$13))))</f>
        <v/>
      </c>
      <c r="H34" s="1"/>
    </row>
    <row r="35" spans="1:8" ht="22" customHeight="1">
      <c r="A35" s="1" t="str">
        <f>IF(AND('Loan Inputs'!$B$12,28*'Loan Inputs'!$B$14+1&lt;=Dashboard!$B$13),29,"")</f>
        <v/>
      </c>
      <c r="B35" s="2" t="str">
        <f>IF(A35="","",INDEX('Repayment Schedule'!C7:C2086,28*'Loan Inputs'!$B$14+1))</f>
        <v/>
      </c>
      <c r="C35" s="2" t="str">
        <f>IF(A35="","",SUMIFS('Repayment Schedule'!F7:F2086,'Repayment Schedule'!A7:A2086,"&gt;="&amp;(28*'Loan Inputs'!$B$14+1),'Repayment Schedule'!A7:A2086,"&lt;="&amp;(MIN(29*'Loan Inputs'!$B$14,Dashboard!$B$13))))</f>
        <v/>
      </c>
      <c r="D35" s="2" t="str">
        <f>IF(A35="","",SUMIFS('Repayment Schedule'!E7:E2086,'Repayment Schedule'!A7:A2086,"&gt;="&amp;(28*'Loan Inputs'!$B$14+1),'Repayment Schedule'!A7:A2086,"&lt;="&amp;(MIN(29*'Loan Inputs'!$B$14,Dashboard!$B$13))))</f>
        <v/>
      </c>
      <c r="E35" s="2" t="str">
        <f>IF(A35="","",INDEX('Repayment Schedule'!G7:G2086,MIN(29*'Loan Inputs'!$B$14,Dashboard!$B$13)))</f>
        <v/>
      </c>
      <c r="F35" s="2" t="str">
        <f>IF(A35="","",SUMIFS('Repayment Schedule'!D7:D2086,'Repayment Schedule'!A7:A2086,"&gt;="&amp;(28*'Loan Inputs'!$B$14+1),'Repayment Schedule'!A7:A2086,"&lt;="&amp;(MIN(29*'Loan Inputs'!$B$14,Dashboard!$B$13))))</f>
        <v/>
      </c>
      <c r="G35" s="2" t="str">
        <f>IF(A35="","",SUMIFS('Repayment Schedule'!H7:H2086,'Repayment Schedule'!A7:A2086,"&gt;="&amp;(28*'Loan Inputs'!$B$14+1),'Repayment Schedule'!A7:A2086,"&lt;="&amp;(MIN(29*'Loan Inputs'!$B$14,Dashboard!$B$13))))</f>
        <v/>
      </c>
      <c r="H35" s="1"/>
    </row>
    <row r="36" spans="1:8" ht="22" customHeight="1">
      <c r="A36" s="1" t="str">
        <f>IF(AND('Loan Inputs'!$B$12,29*'Loan Inputs'!$B$14+1&lt;=Dashboard!$B$13),30,"")</f>
        <v/>
      </c>
      <c r="B36" s="2" t="str">
        <f>IF(A36="","",INDEX('Repayment Schedule'!C7:C2086,29*'Loan Inputs'!$B$14+1))</f>
        <v/>
      </c>
      <c r="C36" s="2" t="str">
        <f>IF(A36="","",SUMIFS('Repayment Schedule'!F7:F2086,'Repayment Schedule'!A7:A2086,"&gt;="&amp;(29*'Loan Inputs'!$B$14+1),'Repayment Schedule'!A7:A2086,"&lt;="&amp;(MIN(30*'Loan Inputs'!$B$14,Dashboard!$B$13))))</f>
        <v/>
      </c>
      <c r="D36" s="2" t="str">
        <f>IF(A36="","",SUMIFS('Repayment Schedule'!E7:E2086,'Repayment Schedule'!A7:A2086,"&gt;="&amp;(29*'Loan Inputs'!$B$14+1),'Repayment Schedule'!A7:A2086,"&lt;="&amp;(MIN(30*'Loan Inputs'!$B$14,Dashboard!$B$13))))</f>
        <v/>
      </c>
      <c r="E36" s="2" t="str">
        <f>IF(A36="","",INDEX('Repayment Schedule'!G7:G2086,MIN(30*'Loan Inputs'!$B$14,Dashboard!$B$13)))</f>
        <v/>
      </c>
      <c r="F36" s="2" t="str">
        <f>IF(A36="","",SUMIFS('Repayment Schedule'!D7:D2086,'Repayment Schedule'!A7:A2086,"&gt;="&amp;(29*'Loan Inputs'!$B$14+1),'Repayment Schedule'!A7:A2086,"&lt;="&amp;(MIN(30*'Loan Inputs'!$B$14,Dashboard!$B$13))))</f>
        <v/>
      </c>
      <c r="G36" s="2" t="str">
        <f>IF(A36="","",SUMIFS('Repayment Schedule'!H7:H2086,'Repayment Schedule'!A7:A2086,"&gt;="&amp;(29*'Loan Inputs'!$B$14+1),'Repayment Schedule'!A7:A2086,"&lt;="&amp;(MIN(30*'Loan Inputs'!$B$14,Dashboard!$B$13))))</f>
        <v/>
      </c>
      <c r="H36" s="1"/>
    </row>
    <row r="37" spans="1:8" ht="22" customHeight="1">
      <c r="A37" s="1" t="str">
        <f>IF(AND('Loan Inputs'!$B$12,30*'Loan Inputs'!$B$14+1&lt;=Dashboard!$B$13),31,"")</f>
        <v/>
      </c>
      <c r="B37" s="2" t="str">
        <f>IF(A37="","",INDEX('Repayment Schedule'!C7:C2086,30*'Loan Inputs'!$B$14+1))</f>
        <v/>
      </c>
      <c r="C37" s="2" t="str">
        <f>IF(A37="","",SUMIFS('Repayment Schedule'!F7:F2086,'Repayment Schedule'!A7:A2086,"&gt;="&amp;(30*'Loan Inputs'!$B$14+1),'Repayment Schedule'!A7:A2086,"&lt;="&amp;(MIN(31*'Loan Inputs'!$B$14,Dashboard!$B$13))))</f>
        <v/>
      </c>
      <c r="D37" s="2" t="str">
        <f>IF(A37="","",SUMIFS('Repayment Schedule'!E7:E2086,'Repayment Schedule'!A7:A2086,"&gt;="&amp;(30*'Loan Inputs'!$B$14+1),'Repayment Schedule'!A7:A2086,"&lt;="&amp;(MIN(31*'Loan Inputs'!$B$14,Dashboard!$B$13))))</f>
        <v/>
      </c>
      <c r="E37" s="2" t="str">
        <f>IF(A37="","",INDEX('Repayment Schedule'!G7:G2086,MIN(31*'Loan Inputs'!$B$14,Dashboard!$B$13)))</f>
        <v/>
      </c>
      <c r="F37" s="2" t="str">
        <f>IF(A37="","",SUMIFS('Repayment Schedule'!D7:D2086,'Repayment Schedule'!A7:A2086,"&gt;="&amp;(30*'Loan Inputs'!$B$14+1),'Repayment Schedule'!A7:A2086,"&lt;="&amp;(MIN(31*'Loan Inputs'!$B$14,Dashboard!$B$13))))</f>
        <v/>
      </c>
      <c r="G37" s="2" t="str">
        <f>IF(A37="","",SUMIFS('Repayment Schedule'!H7:H2086,'Repayment Schedule'!A7:A2086,"&gt;="&amp;(30*'Loan Inputs'!$B$14+1),'Repayment Schedule'!A7:A2086,"&lt;="&amp;(MIN(31*'Loan Inputs'!$B$14,Dashboard!$B$13))))</f>
        <v/>
      </c>
      <c r="H37" s="1"/>
    </row>
    <row r="38" spans="1:8" ht="22" customHeight="1">
      <c r="A38" s="1" t="str">
        <f>IF(AND('Loan Inputs'!$B$12,31*'Loan Inputs'!$B$14+1&lt;=Dashboard!$B$13),32,"")</f>
        <v/>
      </c>
      <c r="B38" s="2" t="str">
        <f>IF(A38="","",INDEX('Repayment Schedule'!C7:C2086,31*'Loan Inputs'!$B$14+1))</f>
        <v/>
      </c>
      <c r="C38" s="2" t="str">
        <f>IF(A38="","",SUMIFS('Repayment Schedule'!F7:F2086,'Repayment Schedule'!A7:A2086,"&gt;="&amp;(31*'Loan Inputs'!$B$14+1),'Repayment Schedule'!A7:A2086,"&lt;="&amp;(MIN(32*'Loan Inputs'!$B$14,Dashboard!$B$13))))</f>
        <v/>
      </c>
      <c r="D38" s="2" t="str">
        <f>IF(A38="","",SUMIFS('Repayment Schedule'!E7:E2086,'Repayment Schedule'!A7:A2086,"&gt;="&amp;(31*'Loan Inputs'!$B$14+1),'Repayment Schedule'!A7:A2086,"&lt;="&amp;(MIN(32*'Loan Inputs'!$B$14,Dashboard!$B$13))))</f>
        <v/>
      </c>
      <c r="E38" s="2" t="str">
        <f>IF(A38="","",INDEX('Repayment Schedule'!G7:G2086,MIN(32*'Loan Inputs'!$B$14,Dashboard!$B$13)))</f>
        <v/>
      </c>
      <c r="F38" s="2" t="str">
        <f>IF(A38="","",SUMIFS('Repayment Schedule'!D7:D2086,'Repayment Schedule'!A7:A2086,"&gt;="&amp;(31*'Loan Inputs'!$B$14+1),'Repayment Schedule'!A7:A2086,"&lt;="&amp;(MIN(32*'Loan Inputs'!$B$14,Dashboard!$B$13))))</f>
        <v/>
      </c>
      <c r="G38" s="2" t="str">
        <f>IF(A38="","",SUMIFS('Repayment Schedule'!H7:H2086,'Repayment Schedule'!A7:A2086,"&gt;="&amp;(31*'Loan Inputs'!$B$14+1),'Repayment Schedule'!A7:A2086,"&lt;="&amp;(MIN(32*'Loan Inputs'!$B$14,Dashboard!$B$13))))</f>
        <v/>
      </c>
      <c r="H38" s="1"/>
    </row>
    <row r="39" spans="1:8" ht="22" customHeight="1">
      <c r="A39" s="1" t="str">
        <f>IF(AND('Loan Inputs'!$B$12,32*'Loan Inputs'!$B$14+1&lt;=Dashboard!$B$13),33,"")</f>
        <v/>
      </c>
      <c r="B39" s="2" t="str">
        <f>IF(A39="","",INDEX('Repayment Schedule'!C7:C2086,32*'Loan Inputs'!$B$14+1))</f>
        <v/>
      </c>
      <c r="C39" s="2" t="str">
        <f>IF(A39="","",SUMIFS('Repayment Schedule'!F7:F2086,'Repayment Schedule'!A7:A2086,"&gt;="&amp;(32*'Loan Inputs'!$B$14+1),'Repayment Schedule'!A7:A2086,"&lt;="&amp;(MIN(33*'Loan Inputs'!$B$14,Dashboard!$B$13))))</f>
        <v/>
      </c>
      <c r="D39" s="2" t="str">
        <f>IF(A39="","",SUMIFS('Repayment Schedule'!E7:E2086,'Repayment Schedule'!A7:A2086,"&gt;="&amp;(32*'Loan Inputs'!$B$14+1),'Repayment Schedule'!A7:A2086,"&lt;="&amp;(MIN(33*'Loan Inputs'!$B$14,Dashboard!$B$13))))</f>
        <v/>
      </c>
      <c r="E39" s="2" t="str">
        <f>IF(A39="","",INDEX('Repayment Schedule'!G7:G2086,MIN(33*'Loan Inputs'!$B$14,Dashboard!$B$13)))</f>
        <v/>
      </c>
      <c r="F39" s="2" t="str">
        <f>IF(A39="","",SUMIFS('Repayment Schedule'!D7:D2086,'Repayment Schedule'!A7:A2086,"&gt;="&amp;(32*'Loan Inputs'!$B$14+1),'Repayment Schedule'!A7:A2086,"&lt;="&amp;(MIN(33*'Loan Inputs'!$B$14,Dashboard!$B$13))))</f>
        <v/>
      </c>
      <c r="G39" s="2" t="str">
        <f>IF(A39="","",SUMIFS('Repayment Schedule'!H7:H2086,'Repayment Schedule'!A7:A2086,"&gt;="&amp;(32*'Loan Inputs'!$B$14+1),'Repayment Schedule'!A7:A2086,"&lt;="&amp;(MIN(33*'Loan Inputs'!$B$14,Dashboard!$B$13))))</f>
        <v/>
      </c>
      <c r="H39" s="1"/>
    </row>
    <row r="40" spans="1:8" ht="22" customHeight="1">
      <c r="A40" s="1" t="str">
        <f>IF(AND('Loan Inputs'!$B$12,33*'Loan Inputs'!$B$14+1&lt;=Dashboard!$B$13),34,"")</f>
        <v/>
      </c>
      <c r="B40" s="2" t="str">
        <f>IF(A40="","",INDEX('Repayment Schedule'!C7:C2086,33*'Loan Inputs'!$B$14+1))</f>
        <v/>
      </c>
      <c r="C40" s="2" t="str">
        <f>IF(A40="","",SUMIFS('Repayment Schedule'!F7:F2086,'Repayment Schedule'!A7:A2086,"&gt;="&amp;(33*'Loan Inputs'!$B$14+1),'Repayment Schedule'!A7:A2086,"&lt;="&amp;(MIN(34*'Loan Inputs'!$B$14,Dashboard!$B$13))))</f>
        <v/>
      </c>
      <c r="D40" s="2" t="str">
        <f>IF(A40="","",SUMIFS('Repayment Schedule'!E7:E2086,'Repayment Schedule'!A7:A2086,"&gt;="&amp;(33*'Loan Inputs'!$B$14+1),'Repayment Schedule'!A7:A2086,"&lt;="&amp;(MIN(34*'Loan Inputs'!$B$14,Dashboard!$B$13))))</f>
        <v/>
      </c>
      <c r="E40" s="2" t="str">
        <f>IF(A40="","",INDEX('Repayment Schedule'!G7:G2086,MIN(34*'Loan Inputs'!$B$14,Dashboard!$B$13)))</f>
        <v/>
      </c>
      <c r="F40" s="2" t="str">
        <f>IF(A40="","",SUMIFS('Repayment Schedule'!D7:D2086,'Repayment Schedule'!A7:A2086,"&gt;="&amp;(33*'Loan Inputs'!$B$14+1),'Repayment Schedule'!A7:A2086,"&lt;="&amp;(MIN(34*'Loan Inputs'!$B$14,Dashboard!$B$13))))</f>
        <v/>
      </c>
      <c r="G40" s="2" t="str">
        <f>IF(A40="","",SUMIFS('Repayment Schedule'!H7:H2086,'Repayment Schedule'!A7:A2086,"&gt;="&amp;(33*'Loan Inputs'!$B$14+1),'Repayment Schedule'!A7:A2086,"&lt;="&amp;(MIN(34*'Loan Inputs'!$B$14,Dashboard!$B$13))))</f>
        <v/>
      </c>
      <c r="H40" s="1"/>
    </row>
    <row r="41" spans="1:8" ht="22" customHeight="1">
      <c r="A41" s="1" t="str">
        <f>IF(AND('Loan Inputs'!$B$12,34*'Loan Inputs'!$B$14+1&lt;=Dashboard!$B$13),35,"")</f>
        <v/>
      </c>
      <c r="B41" s="2" t="str">
        <f>IF(A41="","",INDEX('Repayment Schedule'!C7:C2086,34*'Loan Inputs'!$B$14+1))</f>
        <v/>
      </c>
      <c r="C41" s="2" t="str">
        <f>IF(A41="","",SUMIFS('Repayment Schedule'!F7:F2086,'Repayment Schedule'!A7:A2086,"&gt;="&amp;(34*'Loan Inputs'!$B$14+1),'Repayment Schedule'!A7:A2086,"&lt;="&amp;(MIN(35*'Loan Inputs'!$B$14,Dashboard!$B$13))))</f>
        <v/>
      </c>
      <c r="D41" s="2" t="str">
        <f>IF(A41="","",SUMIFS('Repayment Schedule'!E7:E2086,'Repayment Schedule'!A7:A2086,"&gt;="&amp;(34*'Loan Inputs'!$B$14+1),'Repayment Schedule'!A7:A2086,"&lt;="&amp;(MIN(35*'Loan Inputs'!$B$14,Dashboard!$B$13))))</f>
        <v/>
      </c>
      <c r="E41" s="2" t="str">
        <f>IF(A41="","",INDEX('Repayment Schedule'!G7:G2086,MIN(35*'Loan Inputs'!$B$14,Dashboard!$B$13)))</f>
        <v/>
      </c>
      <c r="F41" s="2" t="str">
        <f>IF(A41="","",SUMIFS('Repayment Schedule'!D7:D2086,'Repayment Schedule'!A7:A2086,"&gt;="&amp;(34*'Loan Inputs'!$B$14+1),'Repayment Schedule'!A7:A2086,"&lt;="&amp;(MIN(35*'Loan Inputs'!$B$14,Dashboard!$B$13))))</f>
        <v/>
      </c>
      <c r="G41" s="2" t="str">
        <f>IF(A41="","",SUMIFS('Repayment Schedule'!H7:H2086,'Repayment Schedule'!A7:A2086,"&gt;="&amp;(34*'Loan Inputs'!$B$14+1),'Repayment Schedule'!A7:A2086,"&lt;="&amp;(MIN(35*'Loan Inputs'!$B$14,Dashboard!$B$13))))</f>
        <v/>
      </c>
      <c r="H41" s="1"/>
    </row>
    <row r="42" spans="1:8" ht="22" customHeight="1">
      <c r="A42" s="1" t="str">
        <f>IF(AND('Loan Inputs'!$B$12,35*'Loan Inputs'!$B$14+1&lt;=Dashboard!$B$13),36,"")</f>
        <v/>
      </c>
      <c r="B42" s="2" t="str">
        <f>IF(A42="","",INDEX('Repayment Schedule'!C7:C2086,35*'Loan Inputs'!$B$14+1))</f>
        <v/>
      </c>
      <c r="C42" s="2" t="str">
        <f>IF(A42="","",SUMIFS('Repayment Schedule'!F7:F2086,'Repayment Schedule'!A7:A2086,"&gt;="&amp;(35*'Loan Inputs'!$B$14+1),'Repayment Schedule'!A7:A2086,"&lt;="&amp;(MIN(36*'Loan Inputs'!$B$14,Dashboard!$B$13))))</f>
        <v/>
      </c>
      <c r="D42" s="2" t="str">
        <f>IF(A42="","",SUMIFS('Repayment Schedule'!E7:E2086,'Repayment Schedule'!A7:A2086,"&gt;="&amp;(35*'Loan Inputs'!$B$14+1),'Repayment Schedule'!A7:A2086,"&lt;="&amp;(MIN(36*'Loan Inputs'!$B$14,Dashboard!$B$13))))</f>
        <v/>
      </c>
      <c r="E42" s="2" t="str">
        <f>IF(A42="","",INDEX('Repayment Schedule'!G7:G2086,MIN(36*'Loan Inputs'!$B$14,Dashboard!$B$13)))</f>
        <v/>
      </c>
      <c r="F42" s="2" t="str">
        <f>IF(A42="","",SUMIFS('Repayment Schedule'!D7:D2086,'Repayment Schedule'!A7:A2086,"&gt;="&amp;(35*'Loan Inputs'!$B$14+1),'Repayment Schedule'!A7:A2086,"&lt;="&amp;(MIN(36*'Loan Inputs'!$B$14,Dashboard!$B$13))))</f>
        <v/>
      </c>
      <c r="G42" s="2" t="str">
        <f>IF(A42="","",SUMIFS('Repayment Schedule'!H7:H2086,'Repayment Schedule'!A7:A2086,"&gt;="&amp;(35*'Loan Inputs'!$B$14+1),'Repayment Schedule'!A7:A2086,"&lt;="&amp;(MIN(36*'Loan Inputs'!$B$14,Dashboard!$B$13))))</f>
        <v/>
      </c>
      <c r="H42" s="1"/>
    </row>
    <row r="43" spans="1:8" ht="22" customHeight="1">
      <c r="A43" s="1" t="str">
        <f>IF(AND('Loan Inputs'!$B$12,36*'Loan Inputs'!$B$14+1&lt;=Dashboard!$B$13),37,"")</f>
        <v/>
      </c>
      <c r="B43" s="2" t="str">
        <f>IF(A43="","",INDEX('Repayment Schedule'!C7:C2086,36*'Loan Inputs'!$B$14+1))</f>
        <v/>
      </c>
      <c r="C43" s="2" t="str">
        <f>IF(A43="","",SUMIFS('Repayment Schedule'!F7:F2086,'Repayment Schedule'!A7:A2086,"&gt;="&amp;(36*'Loan Inputs'!$B$14+1),'Repayment Schedule'!A7:A2086,"&lt;="&amp;(MIN(37*'Loan Inputs'!$B$14,Dashboard!$B$13))))</f>
        <v/>
      </c>
      <c r="D43" s="2" t="str">
        <f>IF(A43="","",SUMIFS('Repayment Schedule'!E7:E2086,'Repayment Schedule'!A7:A2086,"&gt;="&amp;(36*'Loan Inputs'!$B$14+1),'Repayment Schedule'!A7:A2086,"&lt;="&amp;(MIN(37*'Loan Inputs'!$B$14,Dashboard!$B$13))))</f>
        <v/>
      </c>
      <c r="E43" s="2" t="str">
        <f>IF(A43="","",INDEX('Repayment Schedule'!G7:G2086,MIN(37*'Loan Inputs'!$B$14,Dashboard!$B$13)))</f>
        <v/>
      </c>
      <c r="F43" s="2" t="str">
        <f>IF(A43="","",SUMIFS('Repayment Schedule'!D7:D2086,'Repayment Schedule'!A7:A2086,"&gt;="&amp;(36*'Loan Inputs'!$B$14+1),'Repayment Schedule'!A7:A2086,"&lt;="&amp;(MIN(37*'Loan Inputs'!$B$14,Dashboard!$B$13))))</f>
        <v/>
      </c>
      <c r="G43" s="2" t="str">
        <f>IF(A43="","",SUMIFS('Repayment Schedule'!H7:H2086,'Repayment Schedule'!A7:A2086,"&gt;="&amp;(36*'Loan Inputs'!$B$14+1),'Repayment Schedule'!A7:A2086,"&lt;="&amp;(MIN(37*'Loan Inputs'!$B$14,Dashboard!$B$13))))</f>
        <v/>
      </c>
      <c r="H43" s="1"/>
    </row>
    <row r="44" spans="1:8" ht="22" customHeight="1">
      <c r="A44" s="1" t="str">
        <f>IF(AND('Loan Inputs'!$B$12,37*'Loan Inputs'!$B$14+1&lt;=Dashboard!$B$13),38,"")</f>
        <v/>
      </c>
      <c r="B44" s="2" t="str">
        <f>IF(A44="","",INDEX('Repayment Schedule'!C7:C2086,37*'Loan Inputs'!$B$14+1))</f>
        <v/>
      </c>
      <c r="C44" s="2" t="str">
        <f>IF(A44="","",SUMIFS('Repayment Schedule'!F7:F2086,'Repayment Schedule'!A7:A2086,"&gt;="&amp;(37*'Loan Inputs'!$B$14+1),'Repayment Schedule'!A7:A2086,"&lt;="&amp;(MIN(38*'Loan Inputs'!$B$14,Dashboard!$B$13))))</f>
        <v/>
      </c>
      <c r="D44" s="2" t="str">
        <f>IF(A44="","",SUMIFS('Repayment Schedule'!E7:E2086,'Repayment Schedule'!A7:A2086,"&gt;="&amp;(37*'Loan Inputs'!$B$14+1),'Repayment Schedule'!A7:A2086,"&lt;="&amp;(MIN(38*'Loan Inputs'!$B$14,Dashboard!$B$13))))</f>
        <v/>
      </c>
      <c r="E44" s="2" t="str">
        <f>IF(A44="","",INDEX('Repayment Schedule'!G7:G2086,MIN(38*'Loan Inputs'!$B$14,Dashboard!$B$13)))</f>
        <v/>
      </c>
      <c r="F44" s="2" t="str">
        <f>IF(A44="","",SUMIFS('Repayment Schedule'!D7:D2086,'Repayment Schedule'!A7:A2086,"&gt;="&amp;(37*'Loan Inputs'!$B$14+1),'Repayment Schedule'!A7:A2086,"&lt;="&amp;(MIN(38*'Loan Inputs'!$B$14,Dashboard!$B$13))))</f>
        <v/>
      </c>
      <c r="G44" s="2" t="str">
        <f>IF(A44="","",SUMIFS('Repayment Schedule'!H7:H2086,'Repayment Schedule'!A7:A2086,"&gt;="&amp;(37*'Loan Inputs'!$B$14+1),'Repayment Schedule'!A7:A2086,"&lt;="&amp;(MIN(38*'Loan Inputs'!$B$14,Dashboard!$B$13))))</f>
        <v/>
      </c>
      <c r="H44" s="1"/>
    </row>
    <row r="45" spans="1:8" ht="22" customHeight="1">
      <c r="A45" s="1" t="str">
        <f>IF(AND('Loan Inputs'!$B$12,38*'Loan Inputs'!$B$14+1&lt;=Dashboard!$B$13),39,"")</f>
        <v/>
      </c>
      <c r="B45" s="2" t="str">
        <f>IF(A45="","",INDEX('Repayment Schedule'!C7:C2086,38*'Loan Inputs'!$B$14+1))</f>
        <v/>
      </c>
      <c r="C45" s="2" t="str">
        <f>IF(A45="","",SUMIFS('Repayment Schedule'!F7:F2086,'Repayment Schedule'!A7:A2086,"&gt;="&amp;(38*'Loan Inputs'!$B$14+1),'Repayment Schedule'!A7:A2086,"&lt;="&amp;(MIN(39*'Loan Inputs'!$B$14,Dashboard!$B$13))))</f>
        <v/>
      </c>
      <c r="D45" s="2" t="str">
        <f>IF(A45="","",SUMIFS('Repayment Schedule'!E7:E2086,'Repayment Schedule'!A7:A2086,"&gt;="&amp;(38*'Loan Inputs'!$B$14+1),'Repayment Schedule'!A7:A2086,"&lt;="&amp;(MIN(39*'Loan Inputs'!$B$14,Dashboard!$B$13))))</f>
        <v/>
      </c>
      <c r="E45" s="2" t="str">
        <f>IF(A45="","",INDEX('Repayment Schedule'!G7:G2086,MIN(39*'Loan Inputs'!$B$14,Dashboard!$B$13)))</f>
        <v/>
      </c>
      <c r="F45" s="2" t="str">
        <f>IF(A45="","",SUMIFS('Repayment Schedule'!D7:D2086,'Repayment Schedule'!A7:A2086,"&gt;="&amp;(38*'Loan Inputs'!$B$14+1),'Repayment Schedule'!A7:A2086,"&lt;="&amp;(MIN(39*'Loan Inputs'!$B$14,Dashboard!$B$13))))</f>
        <v/>
      </c>
      <c r="G45" s="2" t="str">
        <f>IF(A45="","",SUMIFS('Repayment Schedule'!H7:H2086,'Repayment Schedule'!A7:A2086,"&gt;="&amp;(38*'Loan Inputs'!$B$14+1),'Repayment Schedule'!A7:A2086,"&lt;="&amp;(MIN(39*'Loan Inputs'!$B$14,Dashboard!$B$13))))</f>
        <v/>
      </c>
      <c r="H45" s="1"/>
    </row>
    <row r="46" spans="1:8" ht="22" customHeight="1">
      <c r="A46" s="1" t="str">
        <f>IF(AND('Loan Inputs'!$B$12,39*'Loan Inputs'!$B$14+1&lt;=Dashboard!$B$13),40,"")</f>
        <v/>
      </c>
      <c r="B46" s="2" t="str">
        <f>IF(A46="","",INDEX('Repayment Schedule'!C7:C2086,39*'Loan Inputs'!$B$14+1))</f>
        <v/>
      </c>
      <c r="C46" s="2" t="str">
        <f>IF(A46="","",SUMIFS('Repayment Schedule'!F7:F2086,'Repayment Schedule'!A7:A2086,"&gt;="&amp;(39*'Loan Inputs'!$B$14+1),'Repayment Schedule'!A7:A2086,"&lt;="&amp;(MIN(40*'Loan Inputs'!$B$14,Dashboard!$B$13))))</f>
        <v/>
      </c>
      <c r="D46" s="2" t="str">
        <f>IF(A46="","",SUMIFS('Repayment Schedule'!E7:E2086,'Repayment Schedule'!A7:A2086,"&gt;="&amp;(39*'Loan Inputs'!$B$14+1),'Repayment Schedule'!A7:A2086,"&lt;="&amp;(MIN(40*'Loan Inputs'!$B$14,Dashboard!$B$13))))</f>
        <v/>
      </c>
      <c r="E46" s="2" t="str">
        <f>IF(A46="","",INDEX('Repayment Schedule'!G7:G2086,MIN(40*'Loan Inputs'!$B$14,Dashboard!$B$13)))</f>
        <v/>
      </c>
      <c r="F46" s="2" t="str">
        <f>IF(A46="","",SUMIFS('Repayment Schedule'!D7:D2086,'Repayment Schedule'!A7:A2086,"&gt;="&amp;(39*'Loan Inputs'!$B$14+1),'Repayment Schedule'!A7:A2086,"&lt;="&amp;(MIN(40*'Loan Inputs'!$B$14,Dashboard!$B$13))))</f>
        <v/>
      </c>
      <c r="G46" s="2" t="str">
        <f>IF(A46="","",SUMIFS('Repayment Schedule'!H7:H2086,'Repayment Schedule'!A7:A2086,"&gt;="&amp;(39*'Loan Inputs'!$B$14+1),'Repayment Schedule'!A7:A2086,"&lt;="&amp;(MIN(40*'Loan Inputs'!$B$14,Dashboard!$B$13))))</f>
        <v/>
      </c>
      <c r="H46" s="1"/>
    </row>
    <row r="47" spans="1:8" ht="22" customHeight="1">
      <c r="A47" s="1"/>
      <c r="B47" s="1"/>
      <c r="C47" s="1"/>
      <c r="D47" s="1"/>
      <c r="E47" s="1"/>
      <c r="F47" s="1"/>
      <c r="G47" s="1"/>
      <c r="H47" s="1"/>
    </row>
    <row r="48" spans="1:8" ht="22" customHeight="1">
      <c r="A48" s="1"/>
      <c r="B48" s="1"/>
      <c r="C48" s="1"/>
      <c r="D48" s="1"/>
      <c r="E48" s="1"/>
      <c r="F48" s="1"/>
      <c r="G48" s="1"/>
      <c r="H48" s="1"/>
    </row>
    <row r="49" spans="1:8" ht="22" customHeight="1">
      <c r="A49" s="1"/>
      <c r="B49" s="1"/>
      <c r="C49" s="1"/>
      <c r="D49" s="1"/>
      <c r="E49" s="1"/>
      <c r="F49" s="1"/>
      <c r="G49" s="1"/>
      <c r="H49" s="1"/>
    </row>
    <row r="50" spans="1:8" ht="22" customHeight="1">
      <c r="A50" s="1"/>
      <c r="B50" s="1"/>
      <c r="C50" s="1"/>
      <c r="D50" s="1"/>
      <c r="E50" s="1"/>
      <c r="F50" s="1"/>
      <c r="G50" s="1"/>
      <c r="H50" s="1"/>
    </row>
    <row r="51" spans="1:8" ht="22" customHeight="1">
      <c r="A51" s="1"/>
      <c r="B51" s="1"/>
      <c r="C51" s="1"/>
      <c r="D51" s="1"/>
      <c r="E51" s="1"/>
      <c r="F51" s="1"/>
      <c r="G51" s="1"/>
      <c r="H51" s="1"/>
    </row>
    <row r="52" spans="1:8" ht="22" customHeight="1">
      <c r="A52" s="1"/>
      <c r="B52" s="1"/>
      <c r="C52" s="1"/>
      <c r="D52" s="1"/>
      <c r="E52" s="1"/>
      <c r="F52" s="1"/>
      <c r="G52" s="1"/>
      <c r="H52" s="1"/>
    </row>
    <row r="53" spans="1:8" ht="22" customHeight="1">
      <c r="A53" s="1"/>
      <c r="B53" s="1"/>
      <c r="C53" s="1"/>
      <c r="D53" s="1"/>
      <c r="E53" s="1"/>
      <c r="F53" s="1"/>
      <c r="G53" s="1"/>
      <c r="H53" s="1"/>
    </row>
    <row r="54" spans="1:8" ht="22" customHeight="1">
      <c r="A54" s="1"/>
      <c r="B54" s="1"/>
      <c r="C54" s="1"/>
      <c r="D54" s="1"/>
      <c r="E54" s="1"/>
      <c r="F54" s="1"/>
      <c r="G54" s="1"/>
      <c r="H54" s="1"/>
    </row>
    <row r="55" spans="1:8" ht="22" customHeight="1">
      <c r="A55" s="1"/>
      <c r="B55" s="1"/>
      <c r="C55" s="1"/>
      <c r="D55" s="1"/>
      <c r="E55" s="1"/>
      <c r="F55" s="1"/>
      <c r="G55" s="1"/>
      <c r="H55" s="1"/>
    </row>
    <row r="56" spans="1:8" ht="22" customHeight="1">
      <c r="A56" s="1"/>
      <c r="B56" s="1"/>
      <c r="C56" s="1"/>
      <c r="D56" s="1"/>
      <c r="E56" s="1"/>
      <c r="F56" s="1"/>
      <c r="G56" s="1"/>
      <c r="H56" s="1"/>
    </row>
    <row r="57" spans="1:8" ht="22" customHeight="1">
      <c r="A57" s="1"/>
      <c r="B57" s="1"/>
      <c r="C57" s="1"/>
      <c r="D57" s="1"/>
      <c r="E57" s="1"/>
      <c r="F57" s="1"/>
      <c r="G57" s="1"/>
      <c r="H57" s="1"/>
    </row>
    <row r="58" spans="1:8" ht="22" customHeight="1">
      <c r="A58" s="1"/>
      <c r="B58" s="1"/>
      <c r="C58" s="1"/>
      <c r="D58" s="1"/>
      <c r="E58" s="1"/>
      <c r="F58" s="1"/>
      <c r="G58" s="1"/>
      <c r="H58" s="1"/>
    </row>
    <row r="59" spans="1:8" ht="22" customHeight="1">
      <c r="A59" s="1"/>
      <c r="B59" s="1"/>
      <c r="C59" s="1"/>
      <c r="D59" s="1"/>
      <c r="E59" s="1"/>
      <c r="F59" s="1"/>
      <c r="G59" s="1"/>
      <c r="H59" s="1"/>
    </row>
    <row r="60" spans="1:8" ht="22" customHeight="1">
      <c r="A60" s="1"/>
      <c r="B60" s="1"/>
      <c r="C60" s="1"/>
      <c r="D60" s="1"/>
      <c r="E60" s="1"/>
      <c r="F60" s="1"/>
      <c r="G60" s="1"/>
      <c r="H60" s="1"/>
    </row>
    <row r="61" spans="1:8" ht="22" customHeight="1">
      <c r="A61" s="1"/>
      <c r="B61" s="1"/>
      <c r="C61" s="1"/>
      <c r="D61" s="1"/>
      <c r="E61" s="1"/>
      <c r="F61" s="1"/>
      <c r="G61" s="1"/>
      <c r="H61" s="1"/>
    </row>
    <row r="62" spans="1:8" ht="22" customHeight="1">
      <c r="A62" s="1"/>
      <c r="B62" s="1"/>
      <c r="C62" s="1"/>
      <c r="D62" s="1"/>
      <c r="E62" s="1"/>
      <c r="F62" s="1"/>
      <c r="G62" s="1"/>
      <c r="H62" s="1"/>
    </row>
    <row r="63" spans="1:8" ht="22" customHeight="1">
      <c r="A63" s="1"/>
      <c r="B63" s="1"/>
      <c r="C63" s="1"/>
      <c r="D63" s="1"/>
      <c r="E63" s="1"/>
      <c r="F63" s="1"/>
      <c r="G63" s="1"/>
      <c r="H63" s="1"/>
    </row>
    <row r="64" spans="1:8" ht="22" customHeight="1">
      <c r="A64" s="1"/>
      <c r="B64" s="1"/>
      <c r="C64" s="1"/>
      <c r="D64" s="1"/>
      <c r="E64" s="1"/>
      <c r="F64" s="1"/>
      <c r="G64" s="1"/>
      <c r="H64" s="1"/>
    </row>
    <row r="65" spans="1:8" ht="22" customHeight="1">
      <c r="A65" s="1"/>
      <c r="B65" s="1"/>
      <c r="C65" s="1"/>
      <c r="D65" s="1"/>
      <c r="E65" s="1"/>
      <c r="F65" s="1"/>
      <c r="G65" s="1"/>
      <c r="H65" s="1"/>
    </row>
    <row r="66" spans="1:8" ht="22" customHeight="1">
      <c r="A66" s="1"/>
      <c r="B66" s="1"/>
      <c r="C66" s="1"/>
      <c r="D66" s="1"/>
      <c r="E66" s="1"/>
      <c r="F66" s="1"/>
      <c r="G66" s="1"/>
      <c r="H66" s="1"/>
    </row>
    <row r="67" spans="1:8" ht="22" customHeight="1">
      <c r="A67" s="1"/>
      <c r="B67" s="1"/>
      <c r="C67" s="1"/>
      <c r="D67" s="1"/>
      <c r="E67" s="1"/>
      <c r="F67" s="1"/>
      <c r="G67" s="1"/>
      <c r="H67" s="1"/>
    </row>
    <row r="68" spans="1:8" ht="22" customHeight="1">
      <c r="A68" s="1"/>
      <c r="B68" s="1"/>
      <c r="C68" s="1"/>
      <c r="D68" s="1"/>
      <c r="E68" s="1"/>
      <c r="F68" s="1"/>
      <c r="G68" s="1"/>
      <c r="H68" s="1"/>
    </row>
    <row r="69" spans="1:8" ht="22" customHeight="1">
      <c r="A69" s="1"/>
      <c r="B69" s="1"/>
      <c r="C69" s="1"/>
      <c r="D69" s="1"/>
      <c r="E69" s="1"/>
      <c r="F69" s="1"/>
      <c r="G69" s="1"/>
      <c r="H69" s="1"/>
    </row>
    <row r="70" spans="1:8" ht="22" customHeight="1">
      <c r="A70" s="1"/>
      <c r="B70" s="1"/>
      <c r="C70" s="1"/>
      <c r="D70" s="1"/>
      <c r="E70" s="1"/>
      <c r="F70" s="1"/>
      <c r="G70" s="1"/>
      <c r="H70" s="1"/>
    </row>
    <row r="71" spans="1:8" ht="22" customHeight="1">
      <c r="A71" s="1"/>
      <c r="B71" s="1"/>
      <c r="C71" s="1"/>
      <c r="D71" s="1"/>
      <c r="E71" s="1"/>
      <c r="F71" s="1"/>
      <c r="G71" s="1"/>
      <c r="H71" s="1"/>
    </row>
    <row r="72" spans="1:8" ht="22" customHeight="1">
      <c r="A72" s="1"/>
      <c r="B72" s="1"/>
      <c r="C72" s="1"/>
      <c r="D72" s="1"/>
      <c r="E72" s="1"/>
      <c r="F72" s="1"/>
      <c r="G72" s="1"/>
      <c r="H72" s="1"/>
    </row>
    <row r="73" spans="1:8" ht="22" customHeight="1">
      <c r="A73" s="1"/>
      <c r="B73" s="1"/>
      <c r="C73" s="1"/>
      <c r="D73" s="1"/>
      <c r="E73" s="1"/>
      <c r="F73" s="1"/>
      <c r="G73" s="1"/>
      <c r="H73" s="1"/>
    </row>
    <row r="74" spans="1:8" ht="22" customHeight="1">
      <c r="A74" s="1"/>
      <c r="B74" s="1"/>
      <c r="C74" s="1"/>
      <c r="D74" s="1"/>
      <c r="E74" s="1"/>
      <c r="F74" s="1"/>
      <c r="G74" s="1"/>
      <c r="H74" s="1"/>
    </row>
    <row r="75" spans="1:8" ht="22" customHeight="1">
      <c r="A75" s="1"/>
      <c r="B75" s="1"/>
      <c r="C75" s="1"/>
      <c r="D75" s="1"/>
      <c r="E75" s="1"/>
      <c r="F75" s="1"/>
      <c r="G75" s="1"/>
      <c r="H75" s="1"/>
    </row>
    <row r="76" spans="1:8" ht="22" customHeight="1">
      <c r="A76" s="1"/>
      <c r="B76" s="1"/>
      <c r="C76" s="1"/>
      <c r="D76" s="1"/>
      <c r="E76" s="1"/>
      <c r="F76" s="1"/>
      <c r="G76" s="1"/>
      <c r="H76" s="1"/>
    </row>
    <row r="77" spans="1:8" ht="22" customHeight="1">
      <c r="A77" s="1"/>
      <c r="B77" s="1"/>
      <c r="C77" s="1"/>
      <c r="D77" s="1"/>
      <c r="E77" s="1"/>
      <c r="F77" s="1"/>
      <c r="G77" s="1"/>
      <c r="H77" s="1"/>
    </row>
    <row r="78" spans="1:8" ht="22" customHeight="1">
      <c r="A78" s="1"/>
      <c r="B78" s="1"/>
      <c r="C78" s="1"/>
      <c r="D78" s="1"/>
      <c r="E78" s="1"/>
      <c r="F78" s="1"/>
      <c r="G78" s="1"/>
      <c r="H78" s="1"/>
    </row>
    <row r="79" spans="1:8" ht="22" customHeight="1">
      <c r="A79" s="1"/>
      <c r="B79" s="1"/>
      <c r="C79" s="1"/>
      <c r="D79" s="1"/>
      <c r="E79" s="1"/>
      <c r="F79" s="1"/>
      <c r="G79" s="1"/>
      <c r="H79" s="1"/>
    </row>
    <row r="80" spans="1:8" ht="22" customHeight="1">
      <c r="A80" s="1"/>
      <c r="B80" s="1"/>
      <c r="C80" s="1"/>
      <c r="D80" s="1"/>
      <c r="E80" s="1"/>
      <c r="F80" s="1"/>
      <c r="G80" s="1"/>
      <c r="H80" s="1"/>
    </row>
    <row r="81" spans="1:8" ht="22" customHeight="1">
      <c r="A81" s="1"/>
      <c r="B81" s="1"/>
      <c r="C81" s="1"/>
      <c r="D81" s="1"/>
      <c r="E81" s="1"/>
      <c r="F81" s="1"/>
      <c r="G81" s="1"/>
      <c r="H81" s="1"/>
    </row>
    <row r="82" spans="1:8" ht="22" customHeight="1">
      <c r="A82" s="1"/>
      <c r="B82" s="1"/>
      <c r="C82" s="1"/>
      <c r="D82" s="1"/>
      <c r="E82" s="1"/>
      <c r="F82" s="1"/>
      <c r="G82" s="1"/>
      <c r="H82" s="1"/>
    </row>
    <row r="83" spans="1:8" ht="22" customHeight="1">
      <c r="A83" s="1"/>
      <c r="B83" s="1"/>
      <c r="C83" s="1"/>
      <c r="D83" s="1"/>
      <c r="E83" s="1"/>
      <c r="F83" s="1"/>
      <c r="G83" s="1"/>
      <c r="H83" s="1"/>
    </row>
    <row r="84" spans="1:8" ht="22" customHeight="1">
      <c r="A84" s="1"/>
      <c r="B84" s="1"/>
      <c r="C84" s="1"/>
      <c r="D84" s="1"/>
      <c r="E84" s="1"/>
      <c r="F84" s="1"/>
      <c r="G84" s="1"/>
      <c r="H84" s="1"/>
    </row>
    <row r="85" spans="1:8" ht="22" customHeight="1">
      <c r="A85" s="1"/>
      <c r="B85" s="1"/>
      <c r="C85" s="1"/>
      <c r="D85" s="1"/>
      <c r="E85" s="1"/>
      <c r="F85" s="1"/>
      <c r="G85" s="1"/>
      <c r="H85" s="1"/>
    </row>
    <row r="86" spans="1:8" ht="22" customHeight="1">
      <c r="A86" s="1"/>
      <c r="B86" s="1"/>
      <c r="C86" s="1"/>
      <c r="D86" s="1"/>
      <c r="E86" s="1"/>
      <c r="F86" s="1"/>
      <c r="G86" s="1"/>
      <c r="H86" s="1"/>
    </row>
    <row r="87" spans="1:8" ht="22" customHeight="1">
      <c r="A87" s="1"/>
      <c r="B87" s="1"/>
      <c r="C87" s="1"/>
      <c r="D87" s="1"/>
      <c r="E87" s="1"/>
      <c r="F87" s="1"/>
      <c r="G87" s="1"/>
      <c r="H87" s="1"/>
    </row>
    <row r="88" spans="1:8" ht="22" customHeight="1">
      <c r="A88" s="1"/>
      <c r="B88" s="1"/>
      <c r="C88" s="1"/>
      <c r="D88" s="1"/>
      <c r="E88" s="1"/>
      <c r="F88" s="1"/>
      <c r="G88" s="1"/>
      <c r="H88" s="1"/>
    </row>
    <row r="89" spans="1:8" ht="22" customHeight="1">
      <c r="A89" s="1"/>
      <c r="B89" s="1"/>
      <c r="C89" s="1"/>
      <c r="D89" s="1"/>
      <c r="E89" s="1"/>
      <c r="F89" s="1"/>
      <c r="G89" s="1"/>
      <c r="H89" s="1"/>
    </row>
    <row r="90" spans="1:8" ht="22" customHeight="1">
      <c r="A90" s="1"/>
      <c r="B90" s="1"/>
      <c r="C90" s="1"/>
      <c r="D90" s="1"/>
      <c r="E90" s="1"/>
      <c r="F90" s="1"/>
      <c r="G90" s="1"/>
      <c r="H90" s="1"/>
    </row>
  </sheetData>
  <sheetProtection sheet="1" objects="1" scenarios="1"/>
  <mergeCells count="1">
    <mergeCell ref="A1:H2"/>
  </mergeCells>
  <pageMargins left="0.39370078740157477" right="0.39370078740157477" top="0.39370078740157477" bottom="0.39370078740157477" header="0.3" footer="0.3"/>
  <pageSetup paperSize="9" fitToHeight="0" orientation="landscape" r:id="rId1"/>
  <headerFooter>
    <oddFooter>&amp;CCalcy | Page &amp;P&amp;Rcalcy.com.au</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AF4EE"/>
    <pageSetUpPr fitToPage="1"/>
  </sheetPr>
  <dimension ref="A1:H90"/>
  <sheetViews>
    <sheetView showGridLines="0" zoomScaleNormal="100" workbookViewId="0">
      <pane ySplit="40" topLeftCell="A41" activePane="bottomLeft" state="frozen"/>
      <selection pane="bottomLeft" sqref="A1:H2"/>
    </sheetView>
  </sheetViews>
  <sheetFormatPr defaultRowHeight="14.15"/>
  <cols>
    <col min="1" max="1" width="28" customWidth="1"/>
    <col min="2" max="8" width="16" customWidth="1"/>
  </cols>
  <sheetData>
    <row r="1" spans="1:8" ht="22" customHeight="1">
      <c r="A1" s="12" t="s">
        <v>63</v>
      </c>
      <c r="B1" s="12" t="s">
        <v>63</v>
      </c>
      <c r="C1" s="12" t="s">
        <v>63</v>
      </c>
      <c r="D1" s="12" t="s">
        <v>63</v>
      </c>
      <c r="E1" s="12" t="s">
        <v>63</v>
      </c>
      <c r="F1" s="12" t="s">
        <v>63</v>
      </c>
      <c r="G1" s="12" t="s">
        <v>63</v>
      </c>
      <c r="H1" s="12" t="s">
        <v>63</v>
      </c>
    </row>
    <row r="2" spans="1:8" ht="22" customHeight="1">
      <c r="A2" s="12" t="s">
        <v>63</v>
      </c>
      <c r="B2" s="12" t="s">
        <v>63</v>
      </c>
      <c r="C2" s="12" t="s">
        <v>63</v>
      </c>
      <c r="D2" s="12" t="s">
        <v>63</v>
      </c>
      <c r="E2" s="12" t="s">
        <v>63</v>
      </c>
      <c r="F2" s="12" t="s">
        <v>63</v>
      </c>
      <c r="G2" s="12" t="s">
        <v>63</v>
      </c>
      <c r="H2" s="12" t="s">
        <v>63</v>
      </c>
    </row>
    <row r="3" spans="1:8" ht="22" customHeight="1">
      <c r="A3" s="1"/>
      <c r="B3" s="1"/>
      <c r="C3" s="1"/>
      <c r="D3" s="1"/>
      <c r="E3" s="1"/>
      <c r="F3" s="1"/>
      <c r="G3" s="1"/>
      <c r="H3" s="1"/>
    </row>
    <row r="4" spans="1:8" ht="22" customHeight="1">
      <c r="A4" s="1"/>
      <c r="B4" s="1"/>
      <c r="C4" s="1"/>
      <c r="D4" s="1"/>
      <c r="E4" s="1"/>
      <c r="F4" s="1"/>
      <c r="G4" s="1"/>
      <c r="H4" s="1"/>
    </row>
    <row r="5" spans="1:8" ht="22" customHeight="1">
      <c r="A5" s="1"/>
      <c r="B5" s="1"/>
      <c r="C5" s="1"/>
      <c r="D5" s="1"/>
      <c r="E5" s="1"/>
      <c r="F5" s="1"/>
      <c r="G5" s="1"/>
      <c r="H5" s="1"/>
    </row>
    <row r="6" spans="1:8" ht="22" customHeight="1">
      <c r="A6" s="1"/>
      <c r="B6" s="1"/>
      <c r="C6" s="1"/>
      <c r="D6" s="1"/>
      <c r="E6" s="1"/>
      <c r="F6" s="1"/>
      <c r="G6" s="1"/>
      <c r="H6" s="1"/>
    </row>
    <row r="7" spans="1:8" ht="22" customHeight="1">
      <c r="A7" s="1"/>
      <c r="B7" s="1"/>
      <c r="C7" s="1"/>
      <c r="D7" s="1"/>
      <c r="E7" s="1"/>
      <c r="F7" s="1"/>
      <c r="G7" s="1"/>
      <c r="H7" s="1"/>
    </row>
    <row r="8" spans="1:8" ht="22" customHeight="1">
      <c r="A8" s="1"/>
      <c r="B8" s="1"/>
      <c r="C8" s="1"/>
      <c r="D8" s="1"/>
      <c r="E8" s="1"/>
      <c r="F8" s="1"/>
      <c r="G8" s="1"/>
      <c r="H8" s="1"/>
    </row>
    <row r="9" spans="1:8" ht="22" customHeight="1">
      <c r="A9" s="1"/>
      <c r="B9" s="1"/>
      <c r="C9" s="1"/>
      <c r="D9" s="1"/>
      <c r="E9" s="1"/>
      <c r="F9" s="1"/>
      <c r="G9" s="1"/>
      <c r="H9" s="1"/>
    </row>
    <row r="10" spans="1:8" ht="22" customHeight="1">
      <c r="A10" s="1"/>
      <c r="B10" s="1"/>
      <c r="C10" s="1"/>
      <c r="D10" s="1"/>
      <c r="E10" s="1"/>
      <c r="F10" s="1"/>
      <c r="G10" s="1"/>
      <c r="H10" s="1"/>
    </row>
    <row r="11" spans="1:8" ht="22" customHeight="1">
      <c r="A11" s="1"/>
      <c r="B11" s="1"/>
      <c r="C11" s="1"/>
      <c r="D11" s="1"/>
      <c r="E11" s="1"/>
      <c r="F11" s="1"/>
      <c r="G11" s="1"/>
      <c r="H11" s="1"/>
    </row>
    <row r="12" spans="1:8" ht="22" customHeight="1">
      <c r="A12" s="1"/>
      <c r="B12" s="1"/>
      <c r="C12" s="1"/>
      <c r="D12" s="1"/>
      <c r="E12" s="1"/>
      <c r="F12" s="1"/>
      <c r="G12" s="1"/>
      <c r="H12" s="1"/>
    </row>
    <row r="13" spans="1:8" ht="22" customHeight="1">
      <c r="A13" s="1"/>
      <c r="B13" s="1"/>
      <c r="C13" s="1"/>
      <c r="D13" s="1"/>
      <c r="E13" s="1"/>
      <c r="F13" s="1"/>
      <c r="G13" s="1"/>
      <c r="H13" s="1"/>
    </row>
    <row r="14" spans="1:8" ht="22" customHeight="1">
      <c r="A14" s="1"/>
      <c r="B14" s="1"/>
      <c r="C14" s="1"/>
      <c r="D14" s="1"/>
      <c r="E14" s="1"/>
      <c r="F14" s="1"/>
      <c r="G14" s="1"/>
      <c r="H14" s="1"/>
    </row>
    <row r="15" spans="1:8" ht="22" customHeight="1">
      <c r="A15" s="1"/>
      <c r="B15" s="1"/>
      <c r="C15" s="1"/>
      <c r="D15" s="1"/>
      <c r="E15" s="1"/>
      <c r="F15" s="1"/>
      <c r="G15" s="1"/>
      <c r="H15" s="1"/>
    </row>
    <row r="16" spans="1:8" ht="22" customHeight="1">
      <c r="A16" s="1"/>
      <c r="B16" s="1"/>
      <c r="C16" s="1"/>
      <c r="D16" s="1"/>
      <c r="E16" s="1"/>
      <c r="F16" s="1"/>
      <c r="G16" s="1"/>
      <c r="H16" s="1"/>
    </row>
    <row r="17" spans="1:8" ht="22" customHeight="1">
      <c r="A17" s="1"/>
      <c r="B17" s="1"/>
      <c r="C17" s="1"/>
      <c r="D17" s="1"/>
      <c r="E17" s="1"/>
      <c r="F17" s="1"/>
      <c r="G17" s="1"/>
      <c r="H17" s="1"/>
    </row>
    <row r="18" spans="1:8" ht="22" customHeight="1">
      <c r="A18" s="1"/>
      <c r="B18" s="1"/>
      <c r="C18" s="1"/>
      <c r="D18" s="1"/>
      <c r="E18" s="1"/>
      <c r="F18" s="1"/>
      <c r="G18" s="1"/>
      <c r="H18" s="1"/>
    </row>
    <row r="19" spans="1:8" ht="22" customHeight="1">
      <c r="A19" s="1"/>
      <c r="B19" s="1"/>
      <c r="C19" s="1"/>
      <c r="D19" s="1"/>
      <c r="E19" s="1"/>
      <c r="F19" s="1"/>
      <c r="G19" s="1"/>
      <c r="H19" s="1"/>
    </row>
    <row r="20" spans="1:8" ht="22" customHeight="1">
      <c r="A20" s="1"/>
      <c r="B20" s="1"/>
      <c r="C20" s="1"/>
      <c r="D20" s="1"/>
      <c r="E20" s="1"/>
      <c r="F20" s="1"/>
      <c r="G20" s="1"/>
      <c r="H20" s="1"/>
    </row>
    <row r="21" spans="1:8" ht="22" customHeight="1">
      <c r="A21" s="1"/>
      <c r="B21" s="1"/>
      <c r="C21" s="1"/>
      <c r="D21" s="1"/>
      <c r="E21" s="1"/>
      <c r="F21" s="1"/>
      <c r="G21" s="1"/>
      <c r="H21" s="1"/>
    </row>
    <row r="22" spans="1:8" ht="22" customHeight="1">
      <c r="A22" s="1"/>
      <c r="B22" s="1"/>
      <c r="C22" s="1"/>
      <c r="D22" s="1"/>
      <c r="E22" s="1"/>
      <c r="F22" s="1"/>
      <c r="G22" s="1"/>
      <c r="H22" s="1"/>
    </row>
    <row r="23" spans="1:8" ht="22" customHeight="1">
      <c r="A23" s="1"/>
      <c r="B23" s="1"/>
      <c r="C23" s="1"/>
      <c r="D23" s="1"/>
      <c r="E23" s="1"/>
      <c r="F23" s="1"/>
      <c r="G23" s="1"/>
      <c r="H23" s="1"/>
    </row>
    <row r="24" spans="1:8" ht="22" customHeight="1">
      <c r="A24" s="1"/>
      <c r="B24" s="1"/>
      <c r="C24" s="1"/>
      <c r="D24" s="1"/>
      <c r="E24" s="1"/>
      <c r="F24" s="1"/>
      <c r="G24" s="1"/>
      <c r="H24" s="1"/>
    </row>
    <row r="25" spans="1:8" ht="22" customHeight="1">
      <c r="A25" s="1"/>
      <c r="B25" s="1"/>
      <c r="C25" s="1"/>
      <c r="D25" s="1"/>
      <c r="E25" s="1"/>
      <c r="F25" s="1"/>
      <c r="G25" s="1"/>
      <c r="H25" s="1"/>
    </row>
    <row r="26" spans="1:8" ht="22" customHeight="1">
      <c r="A26" s="1"/>
      <c r="B26" s="1"/>
      <c r="C26" s="1"/>
      <c r="D26" s="1"/>
      <c r="E26" s="1"/>
      <c r="F26" s="1"/>
      <c r="G26" s="1"/>
      <c r="H26" s="1"/>
    </row>
    <row r="27" spans="1:8" ht="22" customHeight="1">
      <c r="A27" s="1"/>
      <c r="B27" s="1"/>
      <c r="C27" s="1"/>
      <c r="D27" s="1"/>
      <c r="E27" s="1"/>
      <c r="F27" s="1"/>
      <c r="G27" s="1"/>
      <c r="H27" s="1"/>
    </row>
    <row r="28" spans="1:8" ht="22" customHeight="1">
      <c r="A28" s="1"/>
      <c r="B28" s="1"/>
      <c r="C28" s="1"/>
      <c r="D28" s="1"/>
      <c r="E28" s="1"/>
      <c r="F28" s="1"/>
      <c r="G28" s="1"/>
      <c r="H28" s="1"/>
    </row>
    <row r="29" spans="1:8" ht="22" customHeight="1">
      <c r="A29" s="1"/>
      <c r="B29" s="1"/>
      <c r="C29" s="1"/>
      <c r="D29" s="1"/>
      <c r="E29" s="1"/>
      <c r="F29" s="1"/>
      <c r="G29" s="1"/>
      <c r="H29" s="1"/>
    </row>
    <row r="30" spans="1:8" ht="22" customHeight="1">
      <c r="A30" s="1"/>
      <c r="B30" s="1"/>
      <c r="C30" s="1"/>
      <c r="D30" s="1"/>
      <c r="E30" s="1"/>
      <c r="F30" s="1"/>
      <c r="G30" s="1"/>
      <c r="H30" s="1"/>
    </row>
    <row r="31" spans="1:8" ht="22" customHeight="1">
      <c r="A31" s="1"/>
      <c r="B31" s="1"/>
      <c r="C31" s="1"/>
      <c r="D31" s="1"/>
      <c r="E31" s="1"/>
      <c r="F31" s="1"/>
      <c r="G31" s="1"/>
      <c r="H31" s="1"/>
    </row>
    <row r="32" spans="1:8" ht="22" customHeight="1">
      <c r="A32" s="1"/>
      <c r="B32" s="1"/>
      <c r="C32" s="1"/>
      <c r="D32" s="1"/>
      <c r="E32" s="1"/>
      <c r="F32" s="1"/>
      <c r="G32" s="1"/>
      <c r="H32" s="1"/>
    </row>
    <row r="33" spans="1:8" ht="22" customHeight="1">
      <c r="A33" s="1"/>
      <c r="B33" s="1"/>
      <c r="C33" s="1"/>
      <c r="D33" s="1"/>
      <c r="E33" s="1"/>
      <c r="F33" s="1"/>
      <c r="G33" s="1"/>
      <c r="H33" s="1"/>
    </row>
    <row r="34" spans="1:8" ht="22" customHeight="1">
      <c r="A34" s="1"/>
      <c r="B34" s="1"/>
      <c r="C34" s="1"/>
      <c r="D34" s="1"/>
      <c r="E34" s="1"/>
      <c r="F34" s="1"/>
      <c r="G34" s="1"/>
      <c r="H34" s="1"/>
    </row>
    <row r="35" spans="1:8" ht="22" customHeight="1">
      <c r="A35" s="1"/>
      <c r="B35" s="1"/>
      <c r="C35" s="1"/>
      <c r="D35" s="1"/>
      <c r="E35" s="1"/>
      <c r="F35" s="1"/>
      <c r="G35" s="1"/>
      <c r="H35" s="1"/>
    </row>
    <row r="36" spans="1:8" ht="22" customHeight="1">
      <c r="A36" s="1"/>
      <c r="B36" s="1"/>
      <c r="C36" s="1"/>
      <c r="D36" s="1"/>
      <c r="E36" s="1"/>
      <c r="F36" s="1"/>
      <c r="G36" s="1"/>
      <c r="H36" s="1"/>
    </row>
    <row r="37" spans="1:8" ht="22" customHeight="1">
      <c r="A37" s="1"/>
      <c r="B37" s="1"/>
      <c r="C37" s="1"/>
      <c r="D37" s="1"/>
      <c r="E37" s="1"/>
      <c r="F37" s="1"/>
      <c r="G37" s="1"/>
      <c r="H37" s="1"/>
    </row>
    <row r="38" spans="1:8" ht="22" customHeight="1">
      <c r="A38" s="1"/>
      <c r="B38" s="1"/>
      <c r="C38" s="1"/>
      <c r="D38" s="1"/>
      <c r="E38" s="1"/>
      <c r="F38" s="1"/>
      <c r="G38" s="1"/>
      <c r="H38" s="1"/>
    </row>
    <row r="39" spans="1:8" ht="22" customHeight="1">
      <c r="A39" s="1"/>
      <c r="B39" s="1"/>
      <c r="C39" s="1"/>
      <c r="D39" s="1"/>
      <c r="E39" s="1"/>
      <c r="F39" s="1"/>
      <c r="G39" s="1"/>
      <c r="H39" s="1"/>
    </row>
    <row r="40" spans="1:8" ht="32.049999999999997" customHeight="1">
      <c r="A40" s="3" t="s">
        <v>59</v>
      </c>
      <c r="B40" s="3" t="s">
        <v>57</v>
      </c>
      <c r="C40" s="3" t="s">
        <v>60</v>
      </c>
      <c r="D40" s="3" t="s">
        <v>61</v>
      </c>
      <c r="E40" s="1"/>
      <c r="F40" s="1"/>
      <c r="G40" s="1"/>
      <c r="H40" s="1"/>
    </row>
    <row r="41" spans="1:8" ht="22" customHeight="1">
      <c r="A41" s="1">
        <f>IF('Annual Summary'!A7="","",'Annual Summary'!A7)</f>
        <v>1</v>
      </c>
      <c r="B41" s="1">
        <f>IF(A41="","",'Annual Summary'!E7)</f>
        <v>639492.39913048479</v>
      </c>
      <c r="C41" s="1">
        <f>IF(A41="","",'Annual Summary'!C7)</f>
        <v>10507.600869515241</v>
      </c>
      <c r="D41" s="1">
        <f>IF(A41="","",'Annual Summary'!D7)</f>
        <v>41230.799544173002</v>
      </c>
      <c r="E41" s="1"/>
      <c r="F41" s="1"/>
      <c r="G41" s="1"/>
      <c r="H41" s="1"/>
    </row>
    <row r="42" spans="1:8" ht="22" customHeight="1">
      <c r="A42" s="1">
        <f>IF('Annual Summary'!A8="","",'Annual Summary'!A8)</f>
        <v>2</v>
      </c>
      <c r="B42" s="1">
        <f>IF(A42="","",'Annual Summary'!E8)</f>
        <v>628293.34462664521</v>
      </c>
      <c r="C42" s="1">
        <f>IF(A42="","",'Annual Summary'!C8)</f>
        <v>11199.054503839572</v>
      </c>
      <c r="D42" s="1">
        <f>IF(A42="","",'Annual Summary'!D8)</f>
        <v>40539.345909848664</v>
      </c>
      <c r="E42" s="1"/>
      <c r="F42" s="1"/>
      <c r="G42" s="1"/>
      <c r="H42" s="1"/>
    </row>
    <row r="43" spans="1:8" ht="22" customHeight="1">
      <c r="A43" s="1">
        <f>IF('Annual Summary'!A9="","",'Annual Summary'!A9)</f>
        <v>3</v>
      </c>
      <c r="B43" s="1">
        <f>IF(A43="","",'Annual Summary'!E9)</f>
        <v>616357.3353189606</v>
      </c>
      <c r="C43" s="1">
        <f>IF(A43="","",'Annual Summary'!C9)</f>
        <v>11936.009307684664</v>
      </c>
      <c r="D43" s="1">
        <f>IF(A43="","",'Annual Summary'!D9)</f>
        <v>39802.391106003575</v>
      </c>
      <c r="E43" s="1"/>
      <c r="F43" s="1"/>
      <c r="G43" s="1"/>
      <c r="H43" s="1"/>
    </row>
    <row r="44" spans="1:8" ht="22" customHeight="1">
      <c r="A44" s="1">
        <f>IF('Annual Summary'!A10="","",'Annual Summary'!A10)</f>
        <v>4</v>
      </c>
      <c r="B44" s="1">
        <f>IF(A44="","",'Annual Summary'!E10)</f>
        <v>603635.87582929677</v>
      </c>
      <c r="C44" s="1">
        <f>IF(A44="","",'Annual Summary'!C10)</f>
        <v>12721.45948966405</v>
      </c>
      <c r="D44" s="1">
        <f>IF(A44="","",'Annual Summary'!D10)</f>
        <v>39016.940924024195</v>
      </c>
      <c r="E44" s="1"/>
      <c r="F44" s="1"/>
      <c r="G44" s="1"/>
      <c r="H44" s="1"/>
    </row>
    <row r="45" spans="1:8" ht="22" customHeight="1">
      <c r="A45" s="1">
        <f>IF('Annual Summary'!A11="","",'Annual Summary'!A11)</f>
        <v>5</v>
      </c>
      <c r="B45" s="1">
        <f>IF(A45="","",'Annual Summary'!E11)</f>
        <v>590077.27953673422</v>
      </c>
      <c r="C45" s="1">
        <f>IF(A45="","",'Annual Summary'!C11)</f>
        <v>13558.596292562395</v>
      </c>
      <c r="D45" s="1">
        <f>IF(A45="","",'Annual Summary'!D11)</f>
        <v>38179.804121125839</v>
      </c>
      <c r="E45" s="1"/>
      <c r="F45" s="1"/>
      <c r="G45" s="1"/>
      <c r="H45" s="1"/>
    </row>
    <row r="46" spans="1:8" ht="22" customHeight="1">
      <c r="A46" s="1">
        <f>IF('Annual Summary'!A12="","",'Annual Summary'!A12)</f>
        <v>6</v>
      </c>
      <c r="B46" s="1">
        <f>IF(A46="","",'Annual Summary'!E12)</f>
        <v>575626.45857754722</v>
      </c>
      <c r="C46" s="1">
        <f>IF(A46="","",'Annual Summary'!C12)</f>
        <v>14450.820959187105</v>
      </c>
      <c r="D46" s="1">
        <f>IF(A46="","",'Annual Summary'!D12)</f>
        <v>37287.57945450113</v>
      </c>
      <c r="E46" s="1"/>
      <c r="F46" s="1"/>
      <c r="G46" s="1"/>
      <c r="H46" s="1"/>
    </row>
    <row r="47" spans="1:8" ht="22" customHeight="1">
      <c r="A47" s="1">
        <f>IF('Annual Summary'!A13="","",'Annual Summary'!A13)</f>
        <v>7</v>
      </c>
      <c r="B47" s="1">
        <f>IF(A47="","",'Annual Summary'!E13)</f>
        <v>560224.70002610842</v>
      </c>
      <c r="C47" s="1">
        <f>IF(A47="","",'Annual Summary'!C13)</f>
        <v>15401.758551438928</v>
      </c>
      <c r="D47" s="1">
        <f>IF(A47="","",'Annual Summary'!D13)</f>
        <v>36336.641862249307</v>
      </c>
      <c r="E47" s="1"/>
      <c r="F47" s="1"/>
      <c r="G47" s="1"/>
      <c r="H47" s="1"/>
    </row>
    <row r="48" spans="1:8" ht="22" customHeight="1">
      <c r="A48" s="1">
        <f>IF('Annual Summary'!A14="","",'Annual Summary'!A14)</f>
        <v>8</v>
      </c>
      <c r="B48" s="1">
        <f>IF(A48="","",'Annual Summary'!E14)</f>
        <v>543809.42734736053</v>
      </c>
      <c r="C48" s="1">
        <f>IF(A48="","",'Annual Summary'!C14)</f>
        <v>16415.272678747944</v>
      </c>
      <c r="D48" s="1">
        <f>IF(A48="","",'Annual Summary'!D14)</f>
        <v>35323.127734940288</v>
      </c>
      <c r="E48" s="1"/>
      <c r="F48" s="1"/>
      <c r="G48" s="1"/>
      <c r="H48" s="1"/>
    </row>
    <row r="49" spans="1:8" ht="22" customHeight="1">
      <c r="A49" s="1">
        <f>IF('Annual Summary'!A15="","",'Annual Summary'!A15)</f>
        <v>9</v>
      </c>
      <c r="B49" s="1">
        <f>IF(A49="","",'Annual Summary'!E15)</f>
        <v>526313.94615164516</v>
      </c>
      <c r="C49" s="1">
        <f>IF(A49="","",'Annual Summary'!C15)</f>
        <v>17495.481195715402</v>
      </c>
      <c r="D49" s="1">
        <f>IF(A49="","",'Annual Summary'!D15)</f>
        <v>34242.919217972827</v>
      </c>
      <c r="E49" s="1"/>
      <c r="F49" s="1"/>
      <c r="G49" s="1"/>
      <c r="H49" s="1"/>
    </row>
    <row r="50" spans="1:8" ht="22" customHeight="1">
      <c r="A50" s="1">
        <f>IF('Annual Summary'!A16="","",'Annual Summary'!A16)</f>
        <v>10</v>
      </c>
      <c r="B50" s="1">
        <f>IF(A50="","",'Annual Summary'!E16)</f>
        <v>507667.1732189047</v>
      </c>
      <c r="C50" s="1">
        <f>IF(A50="","",'Annual Summary'!C16)</f>
        <v>18646.772932740481</v>
      </c>
      <c r="D50" s="1">
        <f>IF(A50="","",'Annual Summary'!D16)</f>
        <v>33091.627480947755</v>
      </c>
      <c r="E50" s="1"/>
      <c r="F50" s="1"/>
      <c r="G50" s="1"/>
      <c r="H50" s="1"/>
    </row>
    <row r="51" spans="1:8" ht="22" customHeight="1">
      <c r="A51" s="1">
        <f>IF('Annual Summary'!A17="","",'Annual Summary'!A17)</f>
        <v>11</v>
      </c>
      <c r="B51" s="1">
        <f>IF(A51="","",'Annual Summary'!E17)</f>
        <v>487793.34769129741</v>
      </c>
      <c r="C51" s="1">
        <f>IF(A51="","",'Annual Summary'!C17)</f>
        <v>19873.82552760734</v>
      </c>
      <c r="D51" s="1">
        <f>IF(A51="","",'Annual Summary'!D17)</f>
        <v>31864.5748860809</v>
      </c>
      <c r="E51" s="1"/>
      <c r="F51" s="1"/>
      <c r="G51" s="1"/>
      <c r="H51" s="1"/>
    </row>
    <row r="52" spans="1:8" ht="22" customHeight="1">
      <c r="A52" s="1">
        <f>IF('Annual Summary'!A18="","",'Annual Summary'!A18)</f>
        <v>12</v>
      </c>
      <c r="B52" s="1">
        <f>IF(A52="","",'Annual Summary'!E18)</f>
        <v>466611.72326081601</v>
      </c>
      <c r="C52" s="1">
        <f>IF(A52="","",'Annual Summary'!C18)</f>
        <v>21181.624430481505</v>
      </c>
      <c r="D52" s="1">
        <f>IF(A52="","",'Annual Summary'!D18)</f>
        <v>30556.775983206742</v>
      </c>
      <c r="E52" s="1"/>
      <c r="F52" s="1"/>
      <c r="G52" s="1"/>
      <c r="H52" s="1"/>
    </row>
    <row r="53" spans="1:8" ht="22" customHeight="1">
      <c r="A53" s="1">
        <f>IF('Annual Summary'!A19="","",'Annual Summary'!A19)</f>
        <v>13</v>
      </c>
      <c r="B53" s="1">
        <f>IF(A53="","",'Annual Summary'!E19)</f>
        <v>444036.24010128435</v>
      </c>
      <c r="C53" s="1">
        <f>IF(A53="","",'Annual Summary'!C19)</f>
        <v>22575.483159531708</v>
      </c>
      <c r="D53" s="1">
        <f>IF(A53="","",'Annual Summary'!D19)</f>
        <v>29162.91725415652</v>
      </c>
      <c r="E53" s="1"/>
      <c r="F53" s="1"/>
      <c r="G53" s="1"/>
      <c r="H53" s="1"/>
    </row>
    <row r="54" spans="1:8" ht="22" customHeight="1">
      <c r="A54" s="1">
        <f>IF('Annual Summary'!A20="","",'Annual Summary'!A20)</f>
        <v>14</v>
      </c>
      <c r="B54" s="1">
        <f>IF(A54="","",'Annual Summary'!E20)</f>
        <v>419975.17521180952</v>
      </c>
      <c r="C54" s="1">
        <f>IF(A54="","",'Annual Summary'!C20)</f>
        <v>24061.064889474794</v>
      </c>
      <c r="D54" s="1">
        <f>IF(A54="","",'Annual Summary'!D20)</f>
        <v>27677.335524213442</v>
      </c>
      <c r="E54" s="1"/>
      <c r="F54" s="1"/>
      <c r="G54" s="1"/>
      <c r="H54" s="1"/>
    </row>
    <row r="55" spans="1:8" ht="22" customHeight="1">
      <c r="A55" s="1">
        <f>IF('Annual Summary'!A21="","",'Annual Summary'!A21)</f>
        <v>15</v>
      </c>
      <c r="B55" s="1">
        <f>IF(A55="","",'Annual Summary'!E21)</f>
        <v>394330.76975105272</v>
      </c>
      <c r="C55" s="1">
        <f>IF(A55="","",'Annual Summary'!C21)</f>
        <v>25644.405460756738</v>
      </c>
      <c r="D55" s="1">
        <f>IF(A55="","",'Annual Summary'!D21)</f>
        <v>26093.994952931498</v>
      </c>
      <c r="E55" s="1"/>
      <c r="F55" s="1"/>
      <c r="G55" s="1"/>
      <c r="H55" s="1"/>
    </row>
    <row r="56" spans="1:8" ht="22" customHeight="1">
      <c r="A56" s="1">
        <f>IF('Annual Summary'!A22="","",'Annual Summary'!A22)</f>
        <v>16</v>
      </c>
      <c r="B56" s="1">
        <f>IF(A56="","",'Annual Summary'!E22)</f>
        <v>366998.83184819773</v>
      </c>
      <c r="C56" s="1">
        <f>IF(A56="","",'Annual Summary'!C22)</f>
        <v>27331.937902855003</v>
      </c>
      <c r="D56" s="1">
        <f>IF(A56="","",'Annual Summary'!D22)</f>
        <v>24406.462510833229</v>
      </c>
      <c r="E56" s="1"/>
      <c r="F56" s="1"/>
      <c r="G56" s="1"/>
      <c r="H56" s="1"/>
    </row>
    <row r="57" spans="1:8" ht="22" customHeight="1">
      <c r="A57" s="1">
        <f>IF('Annual Summary'!A23="","",'Annual Summary'!A23)</f>
        <v>17</v>
      </c>
      <c r="B57" s="1">
        <f>IF(A57="","",'Annual Summary'!E23)</f>
        <v>337868.31327685865</v>
      </c>
      <c r="C57" s="1">
        <f>IF(A57="","",'Annual Summary'!C23)</f>
        <v>29130.51857133902</v>
      </c>
      <c r="D57" s="1">
        <f>IF(A57="","",'Annual Summary'!D23)</f>
        <v>22607.881842349216</v>
      </c>
      <c r="E57" s="1"/>
      <c r="F57" s="1"/>
      <c r="G57" s="1"/>
      <c r="H57" s="1"/>
    </row>
    <row r="58" spans="1:8" ht="22" customHeight="1">
      <c r="A58" s="1">
        <f>IF('Annual Summary'!A24="","",'Annual Summary'!A24)</f>
        <v>18</v>
      </c>
      <c r="B58" s="1">
        <f>IF(A58="","",'Annual Summary'!E24)</f>
        <v>306820.85827197635</v>
      </c>
      <c r="C58" s="1">
        <f>IF(A58="","",'Annual Summary'!C24)</f>
        <v>31047.455004882297</v>
      </c>
      <c r="D58" s="1">
        <f>IF(A58="","",'Annual Summary'!D24)</f>
        <v>20690.945408805939</v>
      </c>
      <c r="E58" s="1"/>
      <c r="F58" s="1"/>
      <c r="G58" s="1"/>
      <c r="H58" s="1"/>
    </row>
    <row r="59" spans="1:8" ht="22" customHeight="1">
      <c r="A59" s="1">
        <f>IF('Annual Summary'!A25="","",'Annual Summary'!A25)</f>
        <v>19</v>
      </c>
      <c r="B59" s="1">
        <f>IF(A59="","",'Annual Summary'!E25)</f>
        <v>273730.32265656861</v>
      </c>
      <c r="C59" s="1">
        <f>IF(A59="","",'Annual Summary'!C25)</f>
        <v>33090.535615407745</v>
      </c>
      <c r="D59" s="1">
        <f>IF(A59="","",'Annual Summary'!D25)</f>
        <v>18647.864798280487</v>
      </c>
      <c r="E59" s="1"/>
      <c r="F59" s="1"/>
      <c r="G59" s="1"/>
      <c r="H59" s="1"/>
    </row>
    <row r="60" spans="1:8" ht="22" customHeight="1">
      <c r="A60" s="1">
        <f>IF('Annual Summary'!A26="","",'Annual Summary'!A26)</f>
        <v>20</v>
      </c>
      <c r="B60" s="1">
        <f>IF(A60="","",'Annual Summary'!E26)</f>
        <v>238462.26132457287</v>
      </c>
      <c r="C60" s="1">
        <f>IF(A60="","",'Annual Summary'!C26)</f>
        <v>35268.061331995785</v>
      </c>
      <c r="D60" s="1">
        <f>IF(A60="","",'Annual Summary'!D26)</f>
        <v>16470.339081692444</v>
      </c>
      <c r="E60" s="1"/>
      <c r="F60" s="1"/>
      <c r="G60" s="1"/>
      <c r="H60" s="1"/>
    </row>
    <row r="61" spans="1:8" ht="22" customHeight="1">
      <c r="A61" s="1">
        <f>IF('Annual Summary'!A27="","",'Annual Summary'!A27)</f>
        <v>21</v>
      </c>
      <c r="B61" s="1">
        <f>IF(A61="","",'Annual Summary'!E27)</f>
        <v>200873.3819974502</v>
      </c>
      <c r="C61" s="1">
        <f>IF(A61="","",'Annual Summary'!C27)</f>
        <v>37588.879327122668</v>
      </c>
      <c r="D61" s="1">
        <f>IF(A61="","",'Annual Summary'!D27)</f>
        <v>14149.521086565568</v>
      </c>
      <c r="E61" s="1"/>
      <c r="F61" s="1"/>
      <c r="G61" s="1"/>
      <c r="H61" s="1"/>
    </row>
    <row r="62" spans="1:8" ht="22" customHeight="1">
      <c r="A62" s="1">
        <f>IF('Annual Summary'!A28="","",'Annual Summary'!A28)</f>
        <v>22</v>
      </c>
      <c r="B62" s="1">
        <f>IF(A62="","",'Annual Summary'!E28)</f>
        <v>160810.96303519324</v>
      </c>
      <c r="C62" s="1">
        <f>IF(A62="","",'Annual Summary'!C28)</f>
        <v>40062.418962256968</v>
      </c>
      <c r="D62" s="1">
        <f>IF(A62="","",'Annual Summary'!D28)</f>
        <v>11675.981451431264</v>
      </c>
      <c r="E62" s="1"/>
      <c r="F62" s="1"/>
      <c r="G62" s="1"/>
      <c r="H62" s="1"/>
    </row>
    <row r="63" spans="1:8" ht="22" customHeight="1">
      <c r="A63" s="1">
        <f>IF('Annual Summary'!A29="","",'Annual Summary'!A29)</f>
        <v>23</v>
      </c>
      <c r="B63" s="1">
        <f>IF(A63="","",'Annual Summary'!E29)</f>
        <v>118112.23293633386</v>
      </c>
      <c r="C63" s="1">
        <f>IF(A63="","",'Annual Summary'!C29)</f>
        <v>42698.730098859414</v>
      </c>
      <c r="D63" s="1">
        <f>IF(A63="","",'Annual Summary'!D29)</f>
        <v>9039.670314828827</v>
      </c>
      <c r="E63" s="1"/>
      <c r="F63" s="1"/>
      <c r="G63" s="1"/>
      <c r="H63" s="1"/>
    </row>
    <row r="64" spans="1:8" ht="22" customHeight="1">
      <c r="A64" s="1">
        <f>IF('Annual Summary'!A30="","",'Annual Summary'!A30)</f>
        <v>24</v>
      </c>
      <c r="B64" s="1">
        <f>IF(A64="","",'Annual Summary'!E30)</f>
        <v>72603.709005892422</v>
      </c>
      <c r="C64" s="1">
        <f>IF(A64="","",'Annual Summary'!C30)</f>
        <v>45508.523930441443</v>
      </c>
      <c r="D64" s="1">
        <f>IF(A64="","",'Annual Summary'!D30)</f>
        <v>6229.8764832467914</v>
      </c>
      <c r="E64" s="1"/>
      <c r="F64" s="1"/>
      <c r="G64" s="1"/>
      <c r="H64" s="1"/>
    </row>
    <row r="65" spans="1:8" ht="22" customHeight="1">
      <c r="A65" s="1">
        <f>IF('Annual Summary'!A31="","",'Annual Summary'!A31)</f>
        <v>25</v>
      </c>
      <c r="B65" s="1">
        <f>IF(A65="","",'Annual Summary'!E31)</f>
        <v>24100.492504311165</v>
      </c>
      <c r="C65" s="1">
        <f>IF(A65="","",'Annual Summary'!C31)</f>
        <v>48503.21650158125</v>
      </c>
      <c r="D65" s="1">
        <f>IF(A65="","",'Annual Summary'!D31)</f>
        <v>3235.1839121069875</v>
      </c>
      <c r="E65" s="1"/>
      <c r="F65" s="1"/>
      <c r="G65" s="1"/>
      <c r="H65" s="1"/>
    </row>
    <row r="66" spans="1:8" ht="22" customHeight="1">
      <c r="A66" s="1">
        <f>IF('Annual Summary'!A32="","",'Annual Summary'!A32)</f>
        <v>26</v>
      </c>
      <c r="B66" s="1">
        <f>IF(A66="","",'Annual Summary'!E32)</f>
        <v>0</v>
      </c>
      <c r="C66" s="1">
        <f>IF(A66="","",'Annual Summary'!C32)</f>
        <v>24100.492504311169</v>
      </c>
      <c r="D66" s="1">
        <f>IF(A66="","",'Annual Summary'!D32)</f>
        <v>433.49593691319052</v>
      </c>
      <c r="E66" s="1"/>
      <c r="F66" s="1"/>
      <c r="G66" s="1"/>
      <c r="H66" s="1"/>
    </row>
    <row r="67" spans="1:8" ht="22" customHeight="1">
      <c r="A67" s="1" t="str">
        <f>IF('Annual Summary'!A33="","",'Annual Summary'!A33)</f>
        <v/>
      </c>
      <c r="B67" s="1" t="str">
        <f>IF(A67="","",'Annual Summary'!E33)</f>
        <v/>
      </c>
      <c r="C67" s="1" t="str">
        <f>IF(A67="","",'Annual Summary'!C33)</f>
        <v/>
      </c>
      <c r="D67" s="1" t="str">
        <f>IF(A67="","",'Annual Summary'!D33)</f>
        <v/>
      </c>
      <c r="E67" s="1"/>
      <c r="F67" s="1"/>
      <c r="G67" s="1"/>
      <c r="H67" s="1"/>
    </row>
    <row r="68" spans="1:8" ht="22" customHeight="1">
      <c r="A68" s="1" t="str">
        <f>IF('Annual Summary'!A34="","",'Annual Summary'!A34)</f>
        <v/>
      </c>
      <c r="B68" s="1" t="str">
        <f>IF(A68="","",'Annual Summary'!E34)</f>
        <v/>
      </c>
      <c r="C68" s="1" t="str">
        <f>IF(A68="","",'Annual Summary'!C34)</f>
        <v/>
      </c>
      <c r="D68" s="1" t="str">
        <f>IF(A68="","",'Annual Summary'!D34)</f>
        <v/>
      </c>
      <c r="E68" s="1"/>
      <c r="F68" s="1"/>
      <c r="G68" s="1"/>
      <c r="H68" s="1"/>
    </row>
    <row r="69" spans="1:8" ht="22" customHeight="1">
      <c r="A69" s="1" t="str">
        <f>IF('Annual Summary'!A35="","",'Annual Summary'!A35)</f>
        <v/>
      </c>
      <c r="B69" s="1" t="str">
        <f>IF(A69="","",'Annual Summary'!E35)</f>
        <v/>
      </c>
      <c r="C69" s="1" t="str">
        <f>IF(A69="","",'Annual Summary'!C35)</f>
        <v/>
      </c>
      <c r="D69" s="1" t="str">
        <f>IF(A69="","",'Annual Summary'!D35)</f>
        <v/>
      </c>
      <c r="E69" s="1"/>
      <c r="F69" s="1"/>
      <c r="G69" s="1"/>
      <c r="H69" s="1"/>
    </row>
    <row r="70" spans="1:8" ht="22" customHeight="1">
      <c r="A70" s="1" t="str">
        <f>IF('Annual Summary'!A36="","",'Annual Summary'!A36)</f>
        <v/>
      </c>
      <c r="B70" s="1" t="str">
        <f>IF(A70="","",'Annual Summary'!E36)</f>
        <v/>
      </c>
      <c r="C70" s="1" t="str">
        <f>IF(A70="","",'Annual Summary'!C36)</f>
        <v/>
      </c>
      <c r="D70" s="1" t="str">
        <f>IF(A70="","",'Annual Summary'!D36)</f>
        <v/>
      </c>
      <c r="E70" s="1"/>
      <c r="F70" s="1"/>
      <c r="G70" s="1"/>
      <c r="H70" s="1"/>
    </row>
    <row r="71" spans="1:8" ht="22" customHeight="1">
      <c r="A71" s="1" t="str">
        <f>IF('Annual Summary'!A37="","",'Annual Summary'!A37)</f>
        <v/>
      </c>
      <c r="B71" s="1" t="str">
        <f>IF(A71="","",'Annual Summary'!E37)</f>
        <v/>
      </c>
      <c r="C71" s="1" t="str">
        <f>IF(A71="","",'Annual Summary'!C37)</f>
        <v/>
      </c>
      <c r="D71" s="1" t="str">
        <f>IF(A71="","",'Annual Summary'!D37)</f>
        <v/>
      </c>
      <c r="E71" s="1"/>
      <c r="F71" s="1"/>
      <c r="G71" s="1"/>
      <c r="H71" s="1"/>
    </row>
    <row r="72" spans="1:8" ht="22" customHeight="1">
      <c r="A72" s="1" t="str">
        <f>IF('Annual Summary'!A38="","",'Annual Summary'!A38)</f>
        <v/>
      </c>
      <c r="B72" s="1" t="str">
        <f>IF(A72="","",'Annual Summary'!E38)</f>
        <v/>
      </c>
      <c r="C72" s="1" t="str">
        <f>IF(A72="","",'Annual Summary'!C38)</f>
        <v/>
      </c>
      <c r="D72" s="1" t="str">
        <f>IF(A72="","",'Annual Summary'!D38)</f>
        <v/>
      </c>
      <c r="E72" s="1"/>
      <c r="F72" s="1"/>
      <c r="G72" s="1"/>
      <c r="H72" s="1"/>
    </row>
    <row r="73" spans="1:8" ht="22" customHeight="1">
      <c r="A73" s="1" t="str">
        <f>IF('Annual Summary'!A39="","",'Annual Summary'!A39)</f>
        <v/>
      </c>
      <c r="B73" s="1" t="str">
        <f>IF(A73="","",'Annual Summary'!E39)</f>
        <v/>
      </c>
      <c r="C73" s="1" t="str">
        <f>IF(A73="","",'Annual Summary'!C39)</f>
        <v/>
      </c>
      <c r="D73" s="1" t="str">
        <f>IF(A73="","",'Annual Summary'!D39)</f>
        <v/>
      </c>
      <c r="E73" s="1"/>
      <c r="F73" s="1"/>
      <c r="G73" s="1"/>
      <c r="H73" s="1"/>
    </row>
    <row r="74" spans="1:8" ht="22" customHeight="1">
      <c r="A74" s="1" t="str">
        <f>IF('Annual Summary'!A40="","",'Annual Summary'!A40)</f>
        <v/>
      </c>
      <c r="B74" s="1" t="str">
        <f>IF(A74="","",'Annual Summary'!E40)</f>
        <v/>
      </c>
      <c r="C74" s="1" t="str">
        <f>IF(A74="","",'Annual Summary'!C40)</f>
        <v/>
      </c>
      <c r="D74" s="1" t="str">
        <f>IF(A74="","",'Annual Summary'!D40)</f>
        <v/>
      </c>
      <c r="E74" s="1"/>
      <c r="F74" s="1"/>
      <c r="G74" s="1"/>
      <c r="H74" s="1"/>
    </row>
    <row r="75" spans="1:8" ht="22" customHeight="1">
      <c r="A75" s="1" t="str">
        <f>IF('Annual Summary'!A41="","",'Annual Summary'!A41)</f>
        <v/>
      </c>
      <c r="B75" s="1" t="str">
        <f>IF(A75="","",'Annual Summary'!E41)</f>
        <v/>
      </c>
      <c r="C75" s="1" t="str">
        <f>IF(A75="","",'Annual Summary'!C41)</f>
        <v/>
      </c>
      <c r="D75" s="1" t="str">
        <f>IF(A75="","",'Annual Summary'!D41)</f>
        <v/>
      </c>
      <c r="E75" s="1"/>
      <c r="F75" s="1"/>
      <c r="G75" s="1"/>
      <c r="H75" s="1"/>
    </row>
    <row r="76" spans="1:8" ht="22" customHeight="1">
      <c r="A76" s="1" t="str">
        <f>IF('Annual Summary'!A42="","",'Annual Summary'!A42)</f>
        <v/>
      </c>
      <c r="B76" s="1" t="str">
        <f>IF(A76="","",'Annual Summary'!E42)</f>
        <v/>
      </c>
      <c r="C76" s="1" t="str">
        <f>IF(A76="","",'Annual Summary'!C42)</f>
        <v/>
      </c>
      <c r="D76" s="1" t="str">
        <f>IF(A76="","",'Annual Summary'!D42)</f>
        <v/>
      </c>
      <c r="E76" s="1"/>
      <c r="F76" s="1"/>
      <c r="G76" s="1"/>
      <c r="H76" s="1"/>
    </row>
    <row r="77" spans="1:8" ht="22" customHeight="1">
      <c r="A77" s="1" t="str">
        <f>IF('Annual Summary'!A43="","",'Annual Summary'!A43)</f>
        <v/>
      </c>
      <c r="B77" s="1" t="str">
        <f>IF(A77="","",'Annual Summary'!E43)</f>
        <v/>
      </c>
      <c r="C77" s="1" t="str">
        <f>IF(A77="","",'Annual Summary'!C43)</f>
        <v/>
      </c>
      <c r="D77" s="1" t="str">
        <f>IF(A77="","",'Annual Summary'!D43)</f>
        <v/>
      </c>
      <c r="E77" s="1"/>
      <c r="F77" s="1"/>
      <c r="G77" s="1"/>
      <c r="H77" s="1"/>
    </row>
    <row r="78" spans="1:8" ht="22" customHeight="1">
      <c r="A78" s="1" t="str">
        <f>IF('Annual Summary'!A44="","",'Annual Summary'!A44)</f>
        <v/>
      </c>
      <c r="B78" s="1" t="str">
        <f>IF(A78="","",'Annual Summary'!E44)</f>
        <v/>
      </c>
      <c r="C78" s="1" t="str">
        <f>IF(A78="","",'Annual Summary'!C44)</f>
        <v/>
      </c>
      <c r="D78" s="1" t="str">
        <f>IF(A78="","",'Annual Summary'!D44)</f>
        <v/>
      </c>
      <c r="E78" s="1"/>
      <c r="F78" s="1"/>
      <c r="G78" s="1"/>
      <c r="H78" s="1"/>
    </row>
    <row r="79" spans="1:8" ht="22" customHeight="1">
      <c r="A79" s="1" t="str">
        <f>IF('Annual Summary'!A45="","",'Annual Summary'!A45)</f>
        <v/>
      </c>
      <c r="B79" s="1" t="str">
        <f>IF(A79="","",'Annual Summary'!E45)</f>
        <v/>
      </c>
      <c r="C79" s="1" t="str">
        <f>IF(A79="","",'Annual Summary'!C45)</f>
        <v/>
      </c>
      <c r="D79" s="1" t="str">
        <f>IF(A79="","",'Annual Summary'!D45)</f>
        <v/>
      </c>
      <c r="E79" s="1"/>
      <c r="F79" s="1"/>
      <c r="G79" s="1"/>
      <c r="H79" s="1"/>
    </row>
    <row r="80" spans="1:8" ht="22" customHeight="1">
      <c r="A80" s="1" t="str">
        <f>IF('Annual Summary'!A46="","",'Annual Summary'!A46)</f>
        <v/>
      </c>
      <c r="B80" s="1" t="str">
        <f>IF(A80="","",'Annual Summary'!E46)</f>
        <v/>
      </c>
      <c r="C80" s="1" t="str">
        <f>IF(A80="","",'Annual Summary'!C46)</f>
        <v/>
      </c>
      <c r="D80" s="1" t="str">
        <f>IF(A80="","",'Annual Summary'!D46)</f>
        <v/>
      </c>
      <c r="E80" s="1"/>
      <c r="F80" s="1"/>
      <c r="G80" s="1"/>
      <c r="H80" s="1"/>
    </row>
    <row r="81" spans="1:8" ht="22" customHeight="1">
      <c r="A81" s="1"/>
      <c r="B81" s="1"/>
      <c r="C81" s="1"/>
      <c r="D81" s="1"/>
      <c r="E81" s="1"/>
      <c r="F81" s="1"/>
      <c r="G81" s="1"/>
      <c r="H81" s="1"/>
    </row>
    <row r="82" spans="1:8" ht="22" customHeight="1">
      <c r="A82" s="1"/>
      <c r="B82" s="1"/>
      <c r="C82" s="1"/>
      <c r="D82" s="1"/>
      <c r="E82" s="1"/>
      <c r="F82" s="1"/>
      <c r="G82" s="1"/>
      <c r="H82" s="1"/>
    </row>
    <row r="83" spans="1:8" ht="22" customHeight="1">
      <c r="A83" s="1"/>
      <c r="B83" s="1"/>
      <c r="C83" s="1"/>
      <c r="D83" s="1"/>
      <c r="E83" s="1"/>
      <c r="F83" s="1"/>
      <c r="G83" s="1"/>
      <c r="H83" s="1"/>
    </row>
    <row r="84" spans="1:8" ht="22" customHeight="1">
      <c r="A84" s="1"/>
      <c r="B84" s="1"/>
      <c r="C84" s="1"/>
      <c r="D84" s="1"/>
      <c r="E84" s="1"/>
      <c r="F84" s="1"/>
      <c r="G84" s="1"/>
      <c r="H84" s="1"/>
    </row>
    <row r="85" spans="1:8" ht="22" customHeight="1">
      <c r="A85" s="1"/>
      <c r="B85" s="1"/>
      <c r="C85" s="1"/>
      <c r="D85" s="1"/>
      <c r="E85" s="1"/>
      <c r="F85" s="1"/>
      <c r="G85" s="1"/>
      <c r="H85" s="1"/>
    </row>
    <row r="86" spans="1:8" ht="22" customHeight="1">
      <c r="A86" s="1"/>
      <c r="B86" s="1"/>
      <c r="C86" s="1"/>
      <c r="D86" s="1"/>
      <c r="E86" s="1"/>
      <c r="F86" s="1"/>
      <c r="G86" s="1"/>
      <c r="H86" s="1"/>
    </row>
    <row r="87" spans="1:8" ht="22" customHeight="1">
      <c r="A87" s="1"/>
      <c r="B87" s="1"/>
      <c r="C87" s="1"/>
      <c r="D87" s="1"/>
      <c r="E87" s="1"/>
      <c r="F87" s="1"/>
      <c r="G87" s="1"/>
      <c r="H87" s="1"/>
    </row>
    <row r="88" spans="1:8" ht="22" customHeight="1">
      <c r="A88" s="1"/>
      <c r="B88" s="1"/>
      <c r="C88" s="1"/>
      <c r="D88" s="1"/>
      <c r="E88" s="1"/>
      <c r="F88" s="1"/>
      <c r="G88" s="1"/>
      <c r="H88" s="1"/>
    </row>
    <row r="89" spans="1:8" ht="22" customHeight="1">
      <c r="A89" s="1"/>
      <c r="B89" s="1"/>
      <c r="C89" s="1"/>
      <c r="D89" s="1"/>
      <c r="E89" s="1"/>
      <c r="F89" s="1"/>
      <c r="G89" s="1"/>
      <c r="H89" s="1"/>
    </row>
    <row r="90" spans="1:8" ht="22" customHeight="1">
      <c r="A90" s="1"/>
      <c r="B90" s="1"/>
      <c r="C90" s="1"/>
      <c r="D90" s="1"/>
      <c r="E90" s="1"/>
      <c r="F90" s="1"/>
      <c r="G90" s="1"/>
      <c r="H90" s="1"/>
    </row>
  </sheetData>
  <sheetProtection sheet="1" objects="1" scenarios="1"/>
  <mergeCells count="1">
    <mergeCell ref="A1:H2"/>
  </mergeCells>
  <pageMargins left="0.39370078740157477" right="0.39370078740157477" top="0.39370078740157477" bottom="0.39370078740157477" header="0.3" footer="0.3"/>
  <pageSetup paperSize="9" scale="70" orientation="landscape" r:id="rId1"/>
  <headerFooter>
    <oddFooter>&amp;CCalcy | Page &amp;P&amp;Rcalcy.com.au</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AF4EE"/>
    <pageSetUpPr fitToPage="1"/>
  </sheetPr>
  <dimension ref="A1:H90"/>
  <sheetViews>
    <sheetView showGridLines="0" zoomScaleNormal="100" workbookViewId="0">
      <selection sqref="A1:H2"/>
    </sheetView>
  </sheetViews>
  <sheetFormatPr defaultRowHeight="14.15"/>
  <cols>
    <col min="1" max="1" width="28" customWidth="1"/>
    <col min="2" max="8" width="16" customWidth="1"/>
  </cols>
  <sheetData>
    <row r="1" spans="1:8" ht="22" customHeight="1">
      <c r="A1" s="12" t="s">
        <v>64</v>
      </c>
      <c r="B1" s="12" t="s">
        <v>64</v>
      </c>
      <c r="C1" s="12" t="s">
        <v>64</v>
      </c>
      <c r="D1" s="12" t="s">
        <v>64</v>
      </c>
      <c r="E1" s="12" t="s">
        <v>64</v>
      </c>
      <c r="F1" s="12" t="s">
        <v>64</v>
      </c>
      <c r="G1" s="12" t="s">
        <v>64</v>
      </c>
      <c r="H1" s="12" t="s">
        <v>64</v>
      </c>
    </row>
    <row r="2" spans="1:8" ht="22" customHeight="1">
      <c r="A2" s="12" t="s">
        <v>64</v>
      </c>
      <c r="B2" s="12" t="s">
        <v>64</v>
      </c>
      <c r="C2" s="12" t="s">
        <v>64</v>
      </c>
      <c r="D2" s="12" t="s">
        <v>64</v>
      </c>
      <c r="E2" s="12" t="s">
        <v>64</v>
      </c>
      <c r="F2" s="12" t="s">
        <v>64</v>
      </c>
      <c r="G2" s="12" t="s">
        <v>64</v>
      </c>
      <c r="H2" s="12" t="s">
        <v>64</v>
      </c>
    </row>
    <row r="3" spans="1:8" ht="22" customHeight="1">
      <c r="A3" s="1"/>
      <c r="B3" s="1"/>
      <c r="C3" s="1"/>
      <c r="D3" s="1"/>
      <c r="E3" s="1"/>
      <c r="F3" s="1"/>
      <c r="G3" s="1"/>
      <c r="H3" s="1"/>
    </row>
    <row r="4" spans="1:8" ht="22" customHeight="1">
      <c r="A4" s="1"/>
      <c r="B4" s="1"/>
      <c r="C4" s="1"/>
      <c r="D4" s="1"/>
      <c r="E4" s="1"/>
      <c r="F4" s="1"/>
      <c r="G4" s="1"/>
      <c r="H4" s="1"/>
    </row>
    <row r="5" spans="1:8" ht="24" customHeight="1">
      <c r="A5" s="14" t="s">
        <v>65</v>
      </c>
      <c r="B5" s="14" t="s">
        <v>65</v>
      </c>
      <c r="C5" s="14" t="s">
        <v>65</v>
      </c>
      <c r="D5" s="14" t="s">
        <v>65</v>
      </c>
      <c r="E5" s="14" t="s">
        <v>65</v>
      </c>
      <c r="F5" s="14" t="s">
        <v>65</v>
      </c>
      <c r="G5" s="14" t="s">
        <v>65</v>
      </c>
      <c r="H5" s="14" t="s">
        <v>65</v>
      </c>
    </row>
    <row r="6" spans="1:8" ht="24" customHeight="1">
      <c r="A6" s="14" t="s">
        <v>65</v>
      </c>
      <c r="B6" s="14" t="s">
        <v>65</v>
      </c>
      <c r="C6" s="14" t="s">
        <v>65</v>
      </c>
      <c r="D6" s="14" t="s">
        <v>65</v>
      </c>
      <c r="E6" s="14" t="s">
        <v>65</v>
      </c>
      <c r="F6" s="14" t="s">
        <v>65</v>
      </c>
      <c r="G6" s="14" t="s">
        <v>65</v>
      </c>
      <c r="H6" s="14" t="s">
        <v>65</v>
      </c>
    </row>
    <row r="7" spans="1:8" ht="22" customHeight="1">
      <c r="A7" s="1"/>
      <c r="B7" s="1"/>
      <c r="C7" s="1"/>
      <c r="D7" s="1"/>
      <c r="E7" s="1"/>
      <c r="F7" s="1"/>
      <c r="G7" s="1"/>
      <c r="H7" s="1"/>
    </row>
    <row r="8" spans="1:8" ht="22" customHeight="1">
      <c r="A8" s="1"/>
      <c r="B8" s="1"/>
      <c r="C8" s="1"/>
      <c r="D8" s="1"/>
      <c r="E8" s="1"/>
      <c r="F8" s="1"/>
      <c r="G8" s="1"/>
      <c r="H8" s="1"/>
    </row>
    <row r="9" spans="1:8" ht="24" customHeight="1">
      <c r="A9" s="14" t="s">
        <v>66</v>
      </c>
      <c r="B9" s="14" t="s">
        <v>66</v>
      </c>
      <c r="C9" s="14" t="s">
        <v>66</v>
      </c>
      <c r="D9" s="14" t="s">
        <v>66</v>
      </c>
      <c r="E9" s="14" t="s">
        <v>66</v>
      </c>
      <c r="F9" s="14" t="s">
        <v>66</v>
      </c>
      <c r="G9" s="14" t="s">
        <v>66</v>
      </c>
      <c r="H9" s="14" t="s">
        <v>66</v>
      </c>
    </row>
    <row r="10" spans="1:8" ht="24" customHeight="1">
      <c r="A10" s="14" t="s">
        <v>66</v>
      </c>
      <c r="B10" s="14" t="s">
        <v>66</v>
      </c>
      <c r="C10" s="14" t="s">
        <v>66</v>
      </c>
      <c r="D10" s="14" t="s">
        <v>66</v>
      </c>
      <c r="E10" s="14" t="s">
        <v>66</v>
      </c>
      <c r="F10" s="14" t="s">
        <v>66</v>
      </c>
      <c r="G10" s="14" t="s">
        <v>66</v>
      </c>
      <c r="H10" s="14" t="s">
        <v>66</v>
      </c>
    </row>
    <row r="11" spans="1:8" ht="22" customHeight="1">
      <c r="A11" s="1"/>
      <c r="B11" s="1"/>
      <c r="C11" s="1"/>
      <c r="D11" s="1"/>
      <c r="E11" s="1"/>
      <c r="F11" s="1"/>
      <c r="G11" s="1"/>
      <c r="H11" s="1"/>
    </row>
    <row r="12" spans="1:8" ht="22" customHeight="1">
      <c r="A12" s="1"/>
      <c r="B12" s="1"/>
      <c r="C12" s="1"/>
      <c r="D12" s="1"/>
      <c r="E12" s="1"/>
      <c r="F12" s="1"/>
      <c r="G12" s="1"/>
      <c r="H12" s="1"/>
    </row>
    <row r="13" spans="1:8" ht="24" customHeight="1">
      <c r="A13" s="14" t="s">
        <v>67</v>
      </c>
      <c r="B13" s="14" t="s">
        <v>67</v>
      </c>
      <c r="C13" s="14" t="s">
        <v>67</v>
      </c>
      <c r="D13" s="14" t="s">
        <v>67</v>
      </c>
      <c r="E13" s="14" t="s">
        <v>67</v>
      </c>
      <c r="F13" s="14" t="s">
        <v>67</v>
      </c>
      <c r="G13" s="14" t="s">
        <v>67</v>
      </c>
      <c r="H13" s="14" t="s">
        <v>67</v>
      </c>
    </row>
    <row r="14" spans="1:8" ht="24" customHeight="1">
      <c r="A14" s="14" t="s">
        <v>67</v>
      </c>
      <c r="B14" s="14" t="s">
        <v>67</v>
      </c>
      <c r="C14" s="14" t="s">
        <v>67</v>
      </c>
      <c r="D14" s="14" t="s">
        <v>67</v>
      </c>
      <c r="E14" s="14" t="s">
        <v>67</v>
      </c>
      <c r="F14" s="14" t="s">
        <v>67</v>
      </c>
      <c r="G14" s="14" t="s">
        <v>67</v>
      </c>
      <c r="H14" s="14" t="s">
        <v>67</v>
      </c>
    </row>
    <row r="15" spans="1:8" ht="22" customHeight="1">
      <c r="A15" s="1"/>
      <c r="B15" s="1"/>
      <c r="C15" s="1"/>
      <c r="D15" s="1"/>
      <c r="E15" s="1"/>
      <c r="F15" s="1"/>
      <c r="G15" s="1"/>
      <c r="H15" s="1"/>
    </row>
    <row r="16" spans="1:8" ht="22" customHeight="1">
      <c r="A16" s="1"/>
      <c r="B16" s="1"/>
      <c r="C16" s="1"/>
      <c r="D16" s="1"/>
      <c r="E16" s="1"/>
      <c r="F16" s="1"/>
      <c r="G16" s="1"/>
      <c r="H16" s="1"/>
    </row>
    <row r="17" spans="1:8" ht="24" customHeight="1">
      <c r="A17" s="14" t="s">
        <v>68</v>
      </c>
      <c r="B17" s="14" t="s">
        <v>68</v>
      </c>
      <c r="C17" s="14" t="s">
        <v>68</v>
      </c>
      <c r="D17" s="14" t="s">
        <v>68</v>
      </c>
      <c r="E17" s="14" t="s">
        <v>68</v>
      </c>
      <c r="F17" s="14" t="s">
        <v>68</v>
      </c>
      <c r="G17" s="14" t="s">
        <v>68</v>
      </c>
      <c r="H17" s="14" t="s">
        <v>68</v>
      </c>
    </row>
    <row r="18" spans="1:8" ht="24" customHeight="1">
      <c r="A18" s="14" t="s">
        <v>68</v>
      </c>
      <c r="B18" s="14" t="s">
        <v>68</v>
      </c>
      <c r="C18" s="14" t="s">
        <v>68</v>
      </c>
      <c r="D18" s="14" t="s">
        <v>68</v>
      </c>
      <c r="E18" s="14" t="s">
        <v>68</v>
      </c>
      <c r="F18" s="14" t="s">
        <v>68</v>
      </c>
      <c r="G18" s="14" t="s">
        <v>68</v>
      </c>
      <c r="H18" s="14" t="s">
        <v>68</v>
      </c>
    </row>
    <row r="19" spans="1:8" ht="22" customHeight="1">
      <c r="A19" s="1"/>
      <c r="B19" s="1"/>
      <c r="C19" s="1"/>
      <c r="D19" s="1"/>
      <c r="E19" s="1"/>
      <c r="F19" s="1"/>
      <c r="G19" s="1"/>
      <c r="H19" s="1"/>
    </row>
    <row r="20" spans="1:8" ht="22" customHeight="1">
      <c r="A20" s="1"/>
      <c r="B20" s="1"/>
      <c r="C20" s="1"/>
      <c r="D20" s="1"/>
      <c r="E20" s="1"/>
      <c r="F20" s="1"/>
      <c r="G20" s="1"/>
      <c r="H20" s="1"/>
    </row>
    <row r="21" spans="1:8" ht="24" customHeight="1">
      <c r="A21" s="14" t="s">
        <v>69</v>
      </c>
      <c r="B21" s="14" t="s">
        <v>69</v>
      </c>
      <c r="C21" s="14" t="s">
        <v>69</v>
      </c>
      <c r="D21" s="14" t="s">
        <v>69</v>
      </c>
      <c r="E21" s="14" t="s">
        <v>69</v>
      </c>
      <c r="F21" s="14" t="s">
        <v>69</v>
      </c>
      <c r="G21" s="14" t="s">
        <v>69</v>
      </c>
      <c r="H21" s="14" t="s">
        <v>69</v>
      </c>
    </row>
    <row r="22" spans="1:8" ht="24" customHeight="1">
      <c r="A22" s="14" t="s">
        <v>69</v>
      </c>
      <c r="B22" s="14" t="s">
        <v>69</v>
      </c>
      <c r="C22" s="14" t="s">
        <v>69</v>
      </c>
      <c r="D22" s="14" t="s">
        <v>69</v>
      </c>
      <c r="E22" s="14" t="s">
        <v>69</v>
      </c>
      <c r="F22" s="14" t="s">
        <v>69</v>
      </c>
      <c r="G22" s="14" t="s">
        <v>69</v>
      </c>
      <c r="H22" s="14" t="s">
        <v>69</v>
      </c>
    </row>
    <row r="23" spans="1:8" ht="22" customHeight="1">
      <c r="A23" s="1"/>
      <c r="B23" s="1"/>
      <c r="C23" s="1"/>
      <c r="D23" s="1"/>
      <c r="E23" s="1"/>
      <c r="F23" s="1"/>
      <c r="G23" s="1"/>
      <c r="H23" s="1"/>
    </row>
    <row r="24" spans="1:8" ht="22" customHeight="1">
      <c r="A24" s="1"/>
      <c r="B24" s="1"/>
      <c r="C24" s="1"/>
      <c r="D24" s="1"/>
      <c r="E24" s="1"/>
      <c r="F24" s="1"/>
      <c r="G24" s="1"/>
      <c r="H24" s="1"/>
    </row>
    <row r="25" spans="1:8" ht="24" customHeight="1">
      <c r="A25" s="14" t="s">
        <v>70</v>
      </c>
      <c r="B25" s="14" t="s">
        <v>70</v>
      </c>
      <c r="C25" s="14" t="s">
        <v>70</v>
      </c>
      <c r="D25" s="14" t="s">
        <v>70</v>
      </c>
      <c r="E25" s="14" t="s">
        <v>70</v>
      </c>
      <c r="F25" s="14" t="s">
        <v>70</v>
      </c>
      <c r="G25" s="14" t="s">
        <v>70</v>
      </c>
      <c r="H25" s="14" t="s">
        <v>70</v>
      </c>
    </row>
    <row r="26" spans="1:8" ht="24" customHeight="1">
      <c r="A26" s="14" t="s">
        <v>70</v>
      </c>
      <c r="B26" s="14" t="s">
        <v>70</v>
      </c>
      <c r="C26" s="14" t="s">
        <v>70</v>
      </c>
      <c r="D26" s="14" t="s">
        <v>70</v>
      </c>
      <c r="E26" s="14" t="s">
        <v>70</v>
      </c>
      <c r="F26" s="14" t="s">
        <v>70</v>
      </c>
      <c r="G26" s="14" t="s">
        <v>70</v>
      </c>
      <c r="H26" s="14" t="s">
        <v>70</v>
      </c>
    </row>
    <row r="27" spans="1:8" ht="22" customHeight="1">
      <c r="A27" s="1"/>
      <c r="B27" s="1"/>
      <c r="C27" s="1"/>
      <c r="D27" s="1"/>
      <c r="E27" s="1"/>
      <c r="F27" s="1"/>
      <c r="G27" s="1"/>
      <c r="H27" s="1"/>
    </row>
    <row r="28" spans="1:8" ht="22" customHeight="1">
      <c r="A28" s="1"/>
      <c r="B28" s="1"/>
      <c r="C28" s="1"/>
      <c r="D28" s="1"/>
      <c r="E28" s="1"/>
      <c r="F28" s="1"/>
      <c r="G28" s="1"/>
      <c r="H28" s="1"/>
    </row>
    <row r="29" spans="1:8" ht="24" customHeight="1">
      <c r="A29" s="14" t="s">
        <v>71</v>
      </c>
      <c r="B29" s="14" t="s">
        <v>71</v>
      </c>
      <c r="C29" s="14" t="s">
        <v>71</v>
      </c>
      <c r="D29" s="14" t="s">
        <v>71</v>
      </c>
      <c r="E29" s="14" t="s">
        <v>71</v>
      </c>
      <c r="F29" s="14" t="s">
        <v>71</v>
      </c>
      <c r="G29" s="14" t="s">
        <v>71</v>
      </c>
      <c r="H29" s="14" t="s">
        <v>71</v>
      </c>
    </row>
    <row r="30" spans="1:8" ht="24" customHeight="1">
      <c r="A30" s="14" t="s">
        <v>71</v>
      </c>
      <c r="B30" s="14" t="s">
        <v>71</v>
      </c>
      <c r="C30" s="14" t="s">
        <v>71</v>
      </c>
      <c r="D30" s="14" t="s">
        <v>71</v>
      </c>
      <c r="E30" s="14" t="s">
        <v>71</v>
      </c>
      <c r="F30" s="14" t="s">
        <v>71</v>
      </c>
      <c r="G30" s="14" t="s">
        <v>71</v>
      </c>
      <c r="H30" s="14" t="s">
        <v>71</v>
      </c>
    </row>
    <row r="31" spans="1:8" ht="22" customHeight="1">
      <c r="A31" s="1"/>
      <c r="B31" s="1"/>
      <c r="C31" s="1"/>
      <c r="D31" s="1"/>
      <c r="E31" s="1"/>
      <c r="F31" s="1"/>
      <c r="G31" s="1"/>
      <c r="H31" s="1"/>
    </row>
    <row r="32" spans="1:8" ht="22" customHeight="1">
      <c r="A32" s="1"/>
      <c r="B32" s="1"/>
      <c r="C32" s="1"/>
      <c r="D32" s="1"/>
      <c r="E32" s="1"/>
      <c r="F32" s="1"/>
      <c r="G32" s="1"/>
      <c r="H32" s="1"/>
    </row>
    <row r="33" spans="1:8" ht="22" customHeight="1">
      <c r="A33" s="1"/>
      <c r="B33" s="1"/>
      <c r="C33" s="1"/>
      <c r="D33" s="1"/>
      <c r="E33" s="1"/>
      <c r="F33" s="1"/>
      <c r="G33" s="1"/>
      <c r="H33" s="1"/>
    </row>
    <row r="34" spans="1:8" ht="22" customHeight="1">
      <c r="A34" s="1"/>
      <c r="B34" s="1"/>
      <c r="C34" s="1"/>
      <c r="D34" s="1"/>
      <c r="E34" s="1"/>
      <c r="F34" s="1"/>
      <c r="G34" s="1"/>
      <c r="H34" s="1"/>
    </row>
    <row r="35" spans="1:8" ht="22" customHeight="1">
      <c r="A35" s="1"/>
      <c r="B35" s="1"/>
      <c r="C35" s="1"/>
      <c r="D35" s="1"/>
      <c r="E35" s="1"/>
      <c r="F35" s="1"/>
      <c r="G35" s="1"/>
      <c r="H35" s="1"/>
    </row>
    <row r="36" spans="1:8" ht="22" customHeight="1">
      <c r="A36" s="1"/>
      <c r="B36" s="1"/>
      <c r="C36" s="1"/>
      <c r="D36" s="1"/>
      <c r="E36" s="1"/>
      <c r="F36" s="1"/>
      <c r="G36" s="1"/>
      <c r="H36" s="1"/>
    </row>
    <row r="37" spans="1:8" ht="22" customHeight="1">
      <c r="A37" s="1"/>
      <c r="B37" s="1"/>
      <c r="C37" s="1"/>
      <c r="D37" s="1"/>
      <c r="E37" s="1"/>
      <c r="F37" s="1"/>
      <c r="G37" s="1"/>
      <c r="H37" s="1"/>
    </row>
    <row r="38" spans="1:8" ht="22" customHeight="1">
      <c r="A38" s="1"/>
      <c r="B38" s="1"/>
      <c r="C38" s="1"/>
      <c r="D38" s="1"/>
      <c r="E38" s="1"/>
      <c r="F38" s="1"/>
      <c r="G38" s="1"/>
      <c r="H38" s="1"/>
    </row>
    <row r="39" spans="1:8" ht="22" customHeight="1">
      <c r="A39" s="1"/>
      <c r="B39" s="1"/>
      <c r="C39" s="1"/>
      <c r="D39" s="1"/>
      <c r="E39" s="1"/>
      <c r="F39" s="1"/>
      <c r="G39" s="1"/>
      <c r="H39" s="1"/>
    </row>
    <row r="40" spans="1:8" ht="22" customHeight="1">
      <c r="A40" s="1"/>
      <c r="B40" s="1"/>
      <c r="C40" s="1"/>
      <c r="D40" s="1"/>
      <c r="E40" s="1"/>
      <c r="F40" s="1"/>
      <c r="G40" s="1"/>
      <c r="H40" s="1"/>
    </row>
    <row r="41" spans="1:8" ht="22" customHeight="1">
      <c r="A41" s="1"/>
      <c r="B41" s="1"/>
      <c r="C41" s="1"/>
      <c r="D41" s="1"/>
      <c r="E41" s="1"/>
      <c r="F41" s="1"/>
      <c r="G41" s="1"/>
      <c r="H41" s="1"/>
    </row>
    <row r="42" spans="1:8" ht="22" customHeight="1">
      <c r="A42" s="1"/>
      <c r="B42" s="1"/>
      <c r="C42" s="1"/>
      <c r="D42" s="1"/>
      <c r="E42" s="1"/>
      <c r="F42" s="1"/>
      <c r="G42" s="1"/>
      <c r="H42" s="1"/>
    </row>
    <row r="43" spans="1:8" ht="22" customHeight="1">
      <c r="A43" s="1"/>
      <c r="B43" s="1"/>
      <c r="C43" s="1"/>
      <c r="D43" s="1"/>
      <c r="E43" s="1"/>
      <c r="F43" s="1"/>
      <c r="G43" s="1"/>
      <c r="H43" s="1"/>
    </row>
    <row r="44" spans="1:8" ht="22" customHeight="1">
      <c r="A44" s="1"/>
      <c r="B44" s="1"/>
      <c r="C44" s="1"/>
      <c r="D44" s="1"/>
      <c r="E44" s="1"/>
      <c r="F44" s="1"/>
      <c r="G44" s="1"/>
      <c r="H44" s="1"/>
    </row>
    <row r="45" spans="1:8" ht="22" customHeight="1">
      <c r="A45" s="1"/>
      <c r="B45" s="1"/>
      <c r="C45" s="1"/>
      <c r="D45" s="1"/>
      <c r="E45" s="1"/>
      <c r="F45" s="1"/>
      <c r="G45" s="1"/>
      <c r="H45" s="1"/>
    </row>
    <row r="46" spans="1:8" ht="22" customHeight="1">
      <c r="A46" s="1"/>
      <c r="B46" s="1"/>
      <c r="C46" s="1"/>
      <c r="D46" s="1"/>
      <c r="E46" s="1"/>
      <c r="F46" s="1"/>
      <c r="G46" s="1"/>
      <c r="H46" s="1"/>
    </row>
    <row r="47" spans="1:8" ht="22" customHeight="1">
      <c r="A47" s="1"/>
      <c r="B47" s="1"/>
      <c r="C47" s="1"/>
      <c r="D47" s="1"/>
      <c r="E47" s="1"/>
      <c r="F47" s="1"/>
      <c r="G47" s="1"/>
      <c r="H47" s="1"/>
    </row>
    <row r="48" spans="1:8" ht="22" customHeight="1">
      <c r="A48" s="1"/>
      <c r="B48" s="1"/>
      <c r="C48" s="1"/>
      <c r="D48" s="1"/>
      <c r="E48" s="1"/>
      <c r="F48" s="1"/>
      <c r="G48" s="1"/>
      <c r="H48" s="1"/>
    </row>
    <row r="49" spans="1:8" ht="22" customHeight="1">
      <c r="A49" s="1"/>
      <c r="B49" s="1"/>
      <c r="C49" s="1"/>
      <c r="D49" s="1"/>
      <c r="E49" s="1"/>
      <c r="F49" s="1"/>
      <c r="G49" s="1"/>
      <c r="H49" s="1"/>
    </row>
    <row r="50" spans="1:8" ht="22" customHeight="1">
      <c r="A50" s="1"/>
      <c r="B50" s="1"/>
      <c r="C50" s="1"/>
      <c r="D50" s="1"/>
      <c r="E50" s="1"/>
      <c r="F50" s="1"/>
      <c r="G50" s="1"/>
      <c r="H50" s="1"/>
    </row>
    <row r="51" spans="1:8" ht="22" customHeight="1">
      <c r="A51" s="1"/>
      <c r="B51" s="1"/>
      <c r="C51" s="1"/>
      <c r="D51" s="1"/>
      <c r="E51" s="1"/>
      <c r="F51" s="1"/>
      <c r="G51" s="1"/>
      <c r="H51" s="1"/>
    </row>
    <row r="52" spans="1:8" ht="22" customHeight="1">
      <c r="A52" s="1"/>
      <c r="B52" s="1"/>
      <c r="C52" s="1"/>
      <c r="D52" s="1"/>
      <c r="E52" s="1"/>
      <c r="F52" s="1"/>
      <c r="G52" s="1"/>
      <c r="H52" s="1"/>
    </row>
    <row r="53" spans="1:8" ht="22" customHeight="1">
      <c r="A53" s="1"/>
      <c r="B53" s="1"/>
      <c r="C53" s="1"/>
      <c r="D53" s="1"/>
      <c r="E53" s="1"/>
      <c r="F53" s="1"/>
      <c r="G53" s="1"/>
      <c r="H53" s="1"/>
    </row>
    <row r="54" spans="1:8" ht="22" customHeight="1">
      <c r="A54" s="1"/>
      <c r="B54" s="1"/>
      <c r="C54" s="1"/>
      <c r="D54" s="1"/>
      <c r="E54" s="1"/>
      <c r="F54" s="1"/>
      <c r="G54" s="1"/>
      <c r="H54" s="1"/>
    </row>
    <row r="55" spans="1:8" ht="22" customHeight="1">
      <c r="A55" s="1"/>
      <c r="B55" s="1"/>
      <c r="C55" s="1"/>
      <c r="D55" s="1"/>
      <c r="E55" s="1"/>
      <c r="F55" s="1"/>
      <c r="G55" s="1"/>
      <c r="H55" s="1"/>
    </row>
    <row r="56" spans="1:8" ht="22" customHeight="1">
      <c r="A56" s="1"/>
      <c r="B56" s="1"/>
      <c r="C56" s="1"/>
      <c r="D56" s="1"/>
      <c r="E56" s="1"/>
      <c r="F56" s="1"/>
      <c r="G56" s="1"/>
      <c r="H56" s="1"/>
    </row>
    <row r="57" spans="1:8" ht="22" customHeight="1">
      <c r="A57" s="1"/>
      <c r="B57" s="1"/>
      <c r="C57" s="1"/>
      <c r="D57" s="1"/>
      <c r="E57" s="1"/>
      <c r="F57" s="1"/>
      <c r="G57" s="1"/>
      <c r="H57" s="1"/>
    </row>
    <row r="58" spans="1:8" ht="22" customHeight="1">
      <c r="A58" s="1"/>
      <c r="B58" s="1"/>
      <c r="C58" s="1"/>
      <c r="D58" s="1"/>
      <c r="E58" s="1"/>
      <c r="F58" s="1"/>
      <c r="G58" s="1"/>
      <c r="H58" s="1"/>
    </row>
    <row r="59" spans="1:8" ht="22" customHeight="1">
      <c r="A59" s="1"/>
      <c r="B59" s="1"/>
      <c r="C59" s="1"/>
      <c r="D59" s="1"/>
      <c r="E59" s="1"/>
      <c r="F59" s="1"/>
      <c r="G59" s="1"/>
      <c r="H59" s="1"/>
    </row>
    <row r="60" spans="1:8" ht="22" customHeight="1">
      <c r="A60" s="1"/>
      <c r="B60" s="1"/>
      <c r="C60" s="1"/>
      <c r="D60" s="1"/>
      <c r="E60" s="1"/>
      <c r="F60" s="1"/>
      <c r="G60" s="1"/>
      <c r="H60" s="1"/>
    </row>
    <row r="61" spans="1:8" ht="22" customHeight="1">
      <c r="A61" s="1"/>
      <c r="B61" s="1"/>
      <c r="C61" s="1"/>
      <c r="D61" s="1"/>
      <c r="E61" s="1"/>
      <c r="F61" s="1"/>
      <c r="G61" s="1"/>
      <c r="H61" s="1"/>
    </row>
    <row r="62" spans="1:8" ht="22" customHeight="1">
      <c r="A62" s="1"/>
      <c r="B62" s="1"/>
      <c r="C62" s="1"/>
      <c r="D62" s="1"/>
      <c r="E62" s="1"/>
      <c r="F62" s="1"/>
      <c r="G62" s="1"/>
      <c r="H62" s="1"/>
    </row>
    <row r="63" spans="1:8" ht="22" customHeight="1">
      <c r="A63" s="1"/>
      <c r="B63" s="1"/>
      <c r="C63" s="1"/>
      <c r="D63" s="1"/>
      <c r="E63" s="1"/>
      <c r="F63" s="1"/>
      <c r="G63" s="1"/>
      <c r="H63" s="1"/>
    </row>
    <row r="64" spans="1:8" ht="22" customHeight="1">
      <c r="A64" s="1"/>
      <c r="B64" s="1"/>
      <c r="C64" s="1"/>
      <c r="D64" s="1"/>
      <c r="E64" s="1"/>
      <c r="F64" s="1"/>
      <c r="G64" s="1"/>
      <c r="H64" s="1"/>
    </row>
    <row r="65" spans="1:8" ht="22" customHeight="1">
      <c r="A65" s="1"/>
      <c r="B65" s="1"/>
      <c r="C65" s="1"/>
      <c r="D65" s="1"/>
      <c r="E65" s="1"/>
      <c r="F65" s="1"/>
      <c r="G65" s="1"/>
      <c r="H65" s="1"/>
    </row>
    <row r="66" spans="1:8" ht="22" customHeight="1">
      <c r="A66" s="1"/>
      <c r="B66" s="1"/>
      <c r="C66" s="1"/>
      <c r="D66" s="1"/>
      <c r="E66" s="1"/>
      <c r="F66" s="1"/>
      <c r="G66" s="1"/>
      <c r="H66" s="1"/>
    </row>
    <row r="67" spans="1:8" ht="22" customHeight="1">
      <c r="A67" s="1"/>
      <c r="B67" s="1"/>
      <c r="C67" s="1"/>
      <c r="D67" s="1"/>
      <c r="E67" s="1"/>
      <c r="F67" s="1"/>
      <c r="G67" s="1"/>
      <c r="H67" s="1"/>
    </row>
    <row r="68" spans="1:8" ht="22" customHeight="1">
      <c r="A68" s="1"/>
      <c r="B68" s="1"/>
      <c r="C68" s="1"/>
      <c r="D68" s="1"/>
      <c r="E68" s="1"/>
      <c r="F68" s="1"/>
      <c r="G68" s="1"/>
      <c r="H68" s="1"/>
    </row>
    <row r="69" spans="1:8" ht="22" customHeight="1">
      <c r="A69" s="1"/>
      <c r="B69" s="1"/>
      <c r="C69" s="1"/>
      <c r="D69" s="1"/>
      <c r="E69" s="1"/>
      <c r="F69" s="1"/>
      <c r="G69" s="1"/>
      <c r="H69" s="1"/>
    </row>
    <row r="70" spans="1:8" ht="22" customHeight="1">
      <c r="A70" s="1"/>
      <c r="B70" s="1"/>
      <c r="C70" s="1"/>
      <c r="D70" s="1"/>
      <c r="E70" s="1"/>
      <c r="F70" s="1"/>
      <c r="G70" s="1"/>
      <c r="H70" s="1"/>
    </row>
    <row r="71" spans="1:8" ht="22" customHeight="1">
      <c r="A71" s="1"/>
      <c r="B71" s="1"/>
      <c r="C71" s="1"/>
      <c r="D71" s="1"/>
      <c r="E71" s="1"/>
      <c r="F71" s="1"/>
      <c r="G71" s="1"/>
      <c r="H71" s="1"/>
    </row>
    <row r="72" spans="1:8" ht="22" customHeight="1">
      <c r="A72" s="1"/>
      <c r="B72" s="1"/>
      <c r="C72" s="1"/>
      <c r="D72" s="1"/>
      <c r="E72" s="1"/>
      <c r="F72" s="1"/>
      <c r="G72" s="1"/>
      <c r="H72" s="1"/>
    </row>
    <row r="73" spans="1:8" ht="22" customHeight="1">
      <c r="A73" s="1"/>
      <c r="B73" s="1"/>
      <c r="C73" s="1"/>
      <c r="D73" s="1"/>
      <c r="E73" s="1"/>
      <c r="F73" s="1"/>
      <c r="G73" s="1"/>
      <c r="H73" s="1"/>
    </row>
    <row r="74" spans="1:8" ht="22" customHeight="1">
      <c r="A74" s="1"/>
      <c r="B74" s="1"/>
      <c r="C74" s="1"/>
      <c r="D74" s="1"/>
      <c r="E74" s="1"/>
      <c r="F74" s="1"/>
      <c r="G74" s="1"/>
      <c r="H74" s="1"/>
    </row>
    <row r="75" spans="1:8" ht="22" customHeight="1">
      <c r="A75" s="1"/>
      <c r="B75" s="1"/>
      <c r="C75" s="1"/>
      <c r="D75" s="1"/>
      <c r="E75" s="1"/>
      <c r="F75" s="1"/>
      <c r="G75" s="1"/>
      <c r="H75" s="1"/>
    </row>
    <row r="76" spans="1:8" ht="22" customHeight="1">
      <c r="A76" s="1"/>
      <c r="B76" s="1"/>
      <c r="C76" s="1"/>
      <c r="D76" s="1"/>
      <c r="E76" s="1"/>
      <c r="F76" s="1"/>
      <c r="G76" s="1"/>
      <c r="H76" s="1"/>
    </row>
    <row r="77" spans="1:8" ht="22" customHeight="1">
      <c r="A77" s="1"/>
      <c r="B77" s="1"/>
      <c r="C77" s="1"/>
      <c r="D77" s="1"/>
      <c r="E77" s="1"/>
      <c r="F77" s="1"/>
      <c r="G77" s="1"/>
      <c r="H77" s="1"/>
    </row>
    <row r="78" spans="1:8" ht="22" customHeight="1">
      <c r="A78" s="1"/>
      <c r="B78" s="1"/>
      <c r="C78" s="1"/>
      <c r="D78" s="1"/>
      <c r="E78" s="1"/>
      <c r="F78" s="1"/>
      <c r="G78" s="1"/>
      <c r="H78" s="1"/>
    </row>
    <row r="79" spans="1:8" ht="22" customHeight="1">
      <c r="A79" s="1"/>
      <c r="B79" s="1"/>
      <c r="C79" s="1"/>
      <c r="D79" s="1"/>
      <c r="E79" s="1"/>
      <c r="F79" s="1"/>
      <c r="G79" s="1"/>
      <c r="H79" s="1"/>
    </row>
    <row r="80" spans="1:8" ht="22" customHeight="1">
      <c r="A80" s="1"/>
      <c r="B80" s="1"/>
      <c r="C80" s="1"/>
      <c r="D80" s="1"/>
      <c r="E80" s="1"/>
      <c r="F80" s="1"/>
      <c r="G80" s="1"/>
      <c r="H80" s="1"/>
    </row>
    <row r="81" spans="1:8" ht="22" customHeight="1">
      <c r="A81" s="1"/>
      <c r="B81" s="1"/>
      <c r="C81" s="1"/>
      <c r="D81" s="1"/>
      <c r="E81" s="1"/>
      <c r="F81" s="1"/>
      <c r="G81" s="1"/>
      <c r="H81" s="1"/>
    </row>
    <row r="82" spans="1:8" ht="22" customHeight="1">
      <c r="A82" s="1"/>
      <c r="B82" s="1"/>
      <c r="C82" s="1"/>
      <c r="D82" s="1"/>
      <c r="E82" s="1"/>
      <c r="F82" s="1"/>
      <c r="G82" s="1"/>
      <c r="H82" s="1"/>
    </row>
    <row r="83" spans="1:8" ht="22" customHeight="1">
      <c r="A83" s="1"/>
      <c r="B83" s="1"/>
      <c r="C83" s="1"/>
      <c r="D83" s="1"/>
      <c r="E83" s="1"/>
      <c r="F83" s="1"/>
      <c r="G83" s="1"/>
      <c r="H83" s="1"/>
    </row>
    <row r="84" spans="1:8" ht="22" customHeight="1">
      <c r="A84" s="1"/>
      <c r="B84" s="1"/>
      <c r="C84" s="1"/>
      <c r="D84" s="1"/>
      <c r="E84" s="1"/>
      <c r="F84" s="1"/>
      <c r="G84" s="1"/>
      <c r="H84" s="1"/>
    </row>
    <row r="85" spans="1:8" ht="22" customHeight="1">
      <c r="A85" s="1"/>
      <c r="B85" s="1"/>
      <c r="C85" s="1"/>
      <c r="D85" s="1"/>
      <c r="E85" s="1"/>
      <c r="F85" s="1"/>
      <c r="G85" s="1"/>
      <c r="H85" s="1"/>
    </row>
    <row r="86" spans="1:8" ht="22" customHeight="1">
      <c r="A86" s="1"/>
      <c r="B86" s="1"/>
      <c r="C86" s="1"/>
      <c r="D86" s="1"/>
      <c r="E86" s="1"/>
      <c r="F86" s="1"/>
      <c r="G86" s="1"/>
      <c r="H86" s="1"/>
    </row>
    <row r="87" spans="1:8" ht="22" customHeight="1">
      <c r="A87" s="1"/>
      <c r="B87" s="1"/>
      <c r="C87" s="1"/>
      <c r="D87" s="1"/>
      <c r="E87" s="1"/>
      <c r="F87" s="1"/>
      <c r="G87" s="1"/>
      <c r="H87" s="1"/>
    </row>
    <row r="88" spans="1:8" ht="22" customHeight="1">
      <c r="A88" s="1"/>
      <c r="B88" s="1"/>
      <c r="C88" s="1"/>
      <c r="D88" s="1"/>
      <c r="E88" s="1"/>
      <c r="F88" s="1"/>
      <c r="G88" s="1"/>
      <c r="H88" s="1"/>
    </row>
    <row r="89" spans="1:8" ht="22" customHeight="1">
      <c r="A89" s="1"/>
      <c r="B89" s="1"/>
      <c r="C89" s="1"/>
      <c r="D89" s="1"/>
      <c r="E89" s="1"/>
      <c r="F89" s="1"/>
      <c r="G89" s="1"/>
      <c r="H89" s="1"/>
    </row>
    <row r="90" spans="1:8" ht="22" customHeight="1">
      <c r="A90" s="1"/>
      <c r="B90" s="1"/>
      <c r="C90" s="1"/>
      <c r="D90" s="1"/>
      <c r="E90" s="1"/>
      <c r="F90" s="1"/>
      <c r="G90" s="1"/>
      <c r="H90" s="1"/>
    </row>
  </sheetData>
  <sheetProtection sheet="1" objects="1" scenarios="1"/>
  <mergeCells count="8">
    <mergeCell ref="A21:H22"/>
    <mergeCell ref="A25:H26"/>
    <mergeCell ref="A29:H30"/>
    <mergeCell ref="A1:H2"/>
    <mergeCell ref="A5:H6"/>
    <mergeCell ref="A9:H10"/>
    <mergeCell ref="A13:H14"/>
    <mergeCell ref="A17:H18"/>
  </mergeCells>
  <pageMargins left="0.39370078740157477" right="0.39370078740157477" top="0.39370078740157477" bottom="0.39370078740157477" header="0.3" footer="0.3"/>
  <pageSetup paperSize="9" scale="75" orientation="landscape" r:id="rId1"/>
  <headerFooter>
    <oddFooter>&amp;CCalcy | Page &amp;P&amp;Rcalcy.com.au</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Dashboard</vt:lpstr>
      <vt:lpstr>Loan Inputs</vt:lpstr>
      <vt:lpstr>Extra Repayment Scenarios</vt:lpstr>
      <vt:lpstr>Repayment Schedule</vt:lpstr>
      <vt:lpstr>Annual Summary</vt:lpstr>
      <vt:lpstr>Charts</vt:lpstr>
      <vt:lpstr>Instructions</vt:lpstr>
      <vt:lpstr>'Annual Summary'!Print_Area</vt:lpstr>
      <vt:lpstr>Charts!Print_Area</vt:lpstr>
      <vt:lpstr>Dashboard!Print_Area</vt:lpstr>
      <vt:lpstr>'Extra Repayment Scenarios'!Print_Area</vt:lpstr>
      <vt:lpstr>Instructions!Print_Area</vt:lpstr>
      <vt:lpstr>'Loan Inputs'!Print_Area</vt:lpstr>
      <vt:lpstr>'Annual Summary'!Print_Titles</vt:lpstr>
      <vt:lpstr>'Repayment Schedule'!Print_Titles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terms="http://purl.org/dc/terms/" xmlns:xsi="http://www.w3.org/2001/XMLSchema-instance">
  <cp:lastPrinted>2026-10-16T16:45:43Z</cp:lastPrinted>
  <dcterms:modified xsi:type="dcterms:W3CDTF">2026-10-16T16:45:45Z</dcterms:modified>
</cp:coreProperties>
</file>