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SIV\.codex\worktrees\calcy-spreadsheet-phase1\rate-finder-plus\outputs\spreadsheet-phase2\corrections\"/>
    </mc:Choice>
  </mc:AlternateContent>
  <xr:revisionPtr revIDLastSave="0" documentId="13_ncr:1_{50B02695-DAB2-4565-B18F-8CA05922DCF7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Dashboard" sheetId="1" r:id="rId1"/>
    <sheet name="Savings Inputs" sheetId="2" r:id="rId2"/>
    <sheet name="Monthly Savings Tracker" sheetId="3" r:id="rId3"/>
    <sheet name="Milestones" sheetId="4" r:id="rId4"/>
    <sheet name="Charts" sheetId="5" r:id="rId5"/>
    <sheet name="Instructions" sheetId="6" r:id="rId6"/>
  </sheets>
  <definedNames>
    <definedName name="_xlnm.Print_Area" localSheetId="4">Charts!$A$1:$H$22</definedName>
    <definedName name="_xlnm.Print_Area" localSheetId="0">Dashboard!$A$1:$H$35</definedName>
    <definedName name="_xlnm.Print_Area" localSheetId="5">Instructions!$A$1:$H$34</definedName>
    <definedName name="_xlnm.Print_Area" localSheetId="3">Milestones!$A$1:$H$18</definedName>
    <definedName name="_xlnm.Print_Area" localSheetId="2">OFFSET('Monthly Savings Tracker'!$A$1,0,0,MIN(480,MAX(24,IF(ISNUMBER(Dashboard!$B$10),Dashboard!$B$10,480),'Savings Inputs'!$B$15))+6,8)</definedName>
    <definedName name="_xlnm.Print_Area" localSheetId="1">'Savings Inputs'!$A$1:$H$18</definedName>
    <definedName name="_xlnm.Print_Titles" localSheetId="2">'Monthly Savings Tracker'!$1:$6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4" l="1"/>
  <c r="B16" i="2"/>
  <c r="B15" i="2"/>
  <c r="B14" i="2" l="1"/>
  <c r="A381" i="3" s="1"/>
  <c r="B381" i="3" s="1"/>
  <c r="A29" i="3" l="1"/>
  <c r="B29" i="3" s="1"/>
  <c r="A318" i="3"/>
  <c r="E318" i="3" s="1"/>
  <c r="A7" i="3"/>
  <c r="A79" i="3"/>
  <c r="E79" i="3" s="1"/>
  <c r="A182" i="3"/>
  <c r="D182" i="3" s="1"/>
  <c r="A214" i="3"/>
  <c r="B214" i="3" s="1"/>
  <c r="A449" i="3"/>
  <c r="E449" i="3" s="1"/>
  <c r="A143" i="3"/>
  <c r="E143" i="3" s="1"/>
  <c r="A221" i="3"/>
  <c r="D221" i="3" s="1"/>
  <c r="A53" i="3"/>
  <c r="E53" i="3" s="1"/>
  <c r="A118" i="3"/>
  <c r="B118" i="3" s="1"/>
  <c r="A16" i="3"/>
  <c r="B16" i="3" s="1"/>
  <c r="A146" i="3"/>
  <c r="D146" i="3" s="1"/>
  <c r="A150" i="3"/>
  <c r="D150" i="3" s="1"/>
  <c r="A346" i="3"/>
  <c r="D346" i="3" s="1"/>
  <c r="A450" i="3"/>
  <c r="E450" i="3" s="1"/>
  <c r="A361" i="3"/>
  <c r="D361" i="3" s="1"/>
  <c r="A299" i="3"/>
  <c r="B299" i="3" s="1"/>
  <c r="A469" i="3"/>
  <c r="B469" i="3" s="1"/>
  <c r="A351" i="3"/>
  <c r="D351" i="3" s="1"/>
  <c r="A106" i="3"/>
  <c r="E106" i="3" s="1"/>
  <c r="A342" i="3"/>
  <c r="D342" i="3" s="1"/>
  <c r="A416" i="3"/>
  <c r="D416" i="3" s="1"/>
  <c r="A43" i="3"/>
  <c r="B43" i="3" s="1"/>
  <c r="A461" i="3"/>
  <c r="B461" i="3" s="1"/>
  <c r="A341" i="3"/>
  <c r="D341" i="3" s="1"/>
  <c r="A367" i="3"/>
  <c r="E367" i="3" s="1"/>
  <c r="A56" i="3"/>
  <c r="D56" i="3" s="1"/>
  <c r="A468" i="3"/>
  <c r="E468" i="3" s="1"/>
  <c r="A426" i="3"/>
  <c r="D426" i="3" s="1"/>
  <c r="A309" i="3"/>
  <c r="B309" i="3" s="1"/>
  <c r="A209" i="3"/>
  <c r="E209" i="3" s="1"/>
  <c r="A317" i="3"/>
  <c r="B317" i="3" s="1"/>
  <c r="A296" i="3"/>
  <c r="E296" i="3" s="1"/>
  <c r="A270" i="3"/>
  <c r="E270" i="3" s="1"/>
  <c r="A98" i="3"/>
  <c r="E98" i="3" s="1"/>
  <c r="A427" i="3"/>
  <c r="E427" i="3" s="1"/>
  <c r="A155" i="3"/>
  <c r="E155" i="3" s="1"/>
  <c r="A170" i="3"/>
  <c r="B170" i="3" s="1"/>
  <c r="A306" i="3"/>
  <c r="E306" i="3" s="1"/>
  <c r="A352" i="3"/>
  <c r="E352" i="3" s="1"/>
  <c r="A272" i="3"/>
  <c r="B272" i="3" s="1"/>
  <c r="A235" i="3"/>
  <c r="E235" i="3" s="1"/>
  <c r="A158" i="3"/>
  <c r="E158" i="3" s="1"/>
  <c r="A385" i="3"/>
  <c r="B385" i="3" s="1"/>
  <c r="A69" i="3"/>
  <c r="B69" i="3" s="1"/>
  <c r="A456" i="3"/>
  <c r="E456" i="3" s="1"/>
  <c r="A92" i="3"/>
  <c r="E92" i="3" s="1"/>
  <c r="A134" i="3"/>
  <c r="B134" i="3" s="1"/>
  <c r="A295" i="3"/>
  <c r="D295" i="3" s="1"/>
  <c r="A421" i="3"/>
  <c r="E421" i="3" s="1"/>
  <c r="A445" i="3"/>
  <c r="D445" i="3" s="1"/>
  <c r="A236" i="3"/>
  <c r="E236" i="3" s="1"/>
  <c r="A20" i="3"/>
  <c r="D20" i="3" s="1"/>
  <c r="A260" i="3"/>
  <c r="E260" i="3" s="1"/>
  <c r="A33" i="3"/>
  <c r="E33" i="3" s="1"/>
  <c r="A273" i="3"/>
  <c r="B273" i="3" s="1"/>
  <c r="A463" i="3"/>
  <c r="E463" i="3" s="1"/>
  <c r="A391" i="3"/>
  <c r="D391" i="3" s="1"/>
  <c r="A187" i="3"/>
  <c r="E187" i="3" s="1"/>
  <c r="A257" i="3"/>
  <c r="E257" i="3" s="1"/>
  <c r="A451" i="3"/>
  <c r="B451" i="3" s="1"/>
  <c r="A481" i="3"/>
  <c r="E481" i="3" s="1"/>
  <c r="A412" i="3"/>
  <c r="B412" i="3" s="1"/>
  <c r="A447" i="3"/>
  <c r="D447" i="3" s="1"/>
  <c r="A344" i="3"/>
  <c r="D344" i="3" s="1"/>
  <c r="A483" i="3"/>
  <c r="B483" i="3" s="1"/>
  <c r="A40" i="3"/>
  <c r="B40" i="3" s="1"/>
  <c r="A314" i="3"/>
  <c r="E314" i="3" s="1"/>
  <c r="A58" i="3"/>
  <c r="E58" i="3" s="1"/>
  <c r="A442" i="3"/>
  <c r="E442" i="3" s="1"/>
  <c r="A63" i="3"/>
  <c r="B63" i="3" s="1"/>
  <c r="A360" i="3"/>
  <c r="E360" i="3" s="1"/>
  <c r="C9" i="4"/>
  <c r="D9" i="4" s="1"/>
  <c r="A145" i="3"/>
  <c r="B145" i="3" s="1"/>
  <c r="A312" i="3"/>
  <c r="D312" i="3" s="1"/>
  <c r="A444" i="3"/>
  <c r="B444" i="3" s="1"/>
  <c r="A24" i="3"/>
  <c r="D24" i="3" s="1"/>
  <c r="A94" i="3"/>
  <c r="E94" i="3" s="1"/>
  <c r="A72" i="3"/>
  <c r="E72" i="3" s="1"/>
  <c r="A30" i="3"/>
  <c r="B30" i="3" s="1"/>
  <c r="A409" i="3"/>
  <c r="B409" i="3" s="1"/>
  <c r="A392" i="3"/>
  <c r="B392" i="3" s="1"/>
  <c r="A466" i="3"/>
  <c r="B466" i="3" s="1"/>
  <c r="A181" i="3"/>
  <c r="D181" i="3" s="1"/>
  <c r="A9" i="3"/>
  <c r="B9" i="3" s="1"/>
  <c r="A302" i="3"/>
  <c r="B302" i="3" s="1"/>
  <c r="A355" i="3"/>
  <c r="D355" i="3" s="1"/>
  <c r="A200" i="3"/>
  <c r="E200" i="3" s="1"/>
  <c r="A316" i="3"/>
  <c r="B316" i="3" s="1"/>
  <c r="A46" i="3"/>
  <c r="B46" i="3" s="1"/>
  <c r="A410" i="3"/>
  <c r="D410" i="3" s="1"/>
  <c r="A64" i="3"/>
  <c r="D64" i="3" s="1"/>
  <c r="A378" i="3"/>
  <c r="D378" i="3" s="1"/>
  <c r="A307" i="3"/>
  <c r="B307" i="3" s="1"/>
  <c r="A383" i="3"/>
  <c r="D383" i="3" s="1"/>
  <c r="A104" i="3"/>
  <c r="B104" i="3" s="1"/>
  <c r="A252" i="3"/>
  <c r="B252" i="3" s="1"/>
  <c r="A183" i="3"/>
  <c r="E183" i="3" s="1"/>
  <c r="A190" i="3"/>
  <c r="B190" i="3" s="1"/>
  <c r="A435" i="3"/>
  <c r="E435" i="3" s="1"/>
  <c r="A282" i="3"/>
  <c r="E282" i="3" s="1"/>
  <c r="A408" i="3"/>
  <c r="B408" i="3" s="1"/>
  <c r="A50" i="3"/>
  <c r="E50" i="3" s="1"/>
  <c r="A152" i="3"/>
  <c r="E152" i="3" s="1"/>
  <c r="A186" i="3"/>
  <c r="E186" i="3" s="1"/>
  <c r="A457" i="3"/>
  <c r="D457" i="3" s="1"/>
  <c r="A219" i="3"/>
  <c r="E219" i="3" s="1"/>
  <c r="A377" i="3"/>
  <c r="D377" i="3" s="1"/>
  <c r="A422" i="3"/>
  <c r="E422" i="3" s="1"/>
  <c r="A256" i="3"/>
  <c r="D256" i="3" s="1"/>
  <c r="A482" i="3"/>
  <c r="D482" i="3" s="1"/>
  <c r="A289" i="3"/>
  <c r="B289" i="3" s="1"/>
  <c r="A51" i="3"/>
  <c r="D51" i="3" s="1"/>
  <c r="A250" i="3"/>
  <c r="B250" i="3" s="1"/>
  <c r="A126" i="3"/>
  <c r="B126" i="3" s="1"/>
  <c r="A66" i="3"/>
  <c r="D66" i="3" s="1"/>
  <c r="A130" i="3"/>
  <c r="B130" i="3" s="1"/>
  <c r="A140" i="3"/>
  <c r="D140" i="3" s="1"/>
  <c r="A253" i="3"/>
  <c r="E253" i="3" s="1"/>
  <c r="A338" i="3"/>
  <c r="D338" i="3" s="1"/>
  <c r="A438" i="3"/>
  <c r="D438" i="3" s="1"/>
  <c r="A179" i="3"/>
  <c r="D179" i="3" s="1"/>
  <c r="A165" i="3"/>
  <c r="E165" i="3" s="1"/>
  <c r="A230" i="3"/>
  <c r="E230" i="3" s="1"/>
  <c r="A424" i="3"/>
  <c r="D424" i="3" s="1"/>
  <c r="A160" i="3"/>
  <c r="D160" i="3" s="1"/>
  <c r="A460" i="3"/>
  <c r="D460" i="3" s="1"/>
  <c r="A263" i="3"/>
  <c r="E263" i="3" s="1"/>
  <c r="A292" i="3"/>
  <c r="B292" i="3" s="1"/>
  <c r="A390" i="3"/>
  <c r="D390" i="3" s="1"/>
  <c r="A286" i="3"/>
  <c r="D286" i="3" s="1"/>
  <c r="C7" i="4"/>
  <c r="D7" i="4" s="1"/>
  <c r="A478" i="3"/>
  <c r="E478" i="3" s="1"/>
  <c r="A97" i="3"/>
  <c r="E97" i="3" s="1"/>
  <c r="A23" i="3"/>
  <c r="E23" i="3" s="1"/>
  <c r="A166" i="3"/>
  <c r="B166" i="3" s="1"/>
  <c r="A8" i="3"/>
  <c r="E8" i="3" s="1"/>
  <c r="A19" i="3"/>
  <c r="D19" i="3" s="1"/>
  <c r="A297" i="3"/>
  <c r="B297" i="3" s="1"/>
  <c r="A439" i="3"/>
  <c r="D439" i="3" s="1"/>
  <c r="A55" i="3"/>
  <c r="B55" i="3" s="1"/>
  <c r="A159" i="3"/>
  <c r="B159" i="3" s="1"/>
  <c r="A189" i="3"/>
  <c r="D189" i="3" s="1"/>
  <c r="A251" i="3"/>
  <c r="B251" i="3" s="1"/>
  <c r="A285" i="3"/>
  <c r="E285" i="3" s="1"/>
  <c r="B26" i="5"/>
  <c r="A480" i="3"/>
  <c r="B480" i="3" s="1"/>
  <c r="A180" i="3"/>
  <c r="D180" i="3" s="1"/>
  <c r="A315" i="3"/>
  <c r="E315" i="3" s="1"/>
  <c r="A357" i="3"/>
  <c r="D357" i="3" s="1"/>
  <c r="A287" i="3"/>
  <c r="E287" i="3" s="1"/>
  <c r="A168" i="3"/>
  <c r="D168" i="3" s="1"/>
  <c r="A213" i="3"/>
  <c r="E213" i="3" s="1"/>
  <c r="A271" i="3"/>
  <c r="E271" i="3" s="1"/>
  <c r="A353" i="3"/>
  <c r="E353" i="3" s="1"/>
  <c r="A398" i="3"/>
  <c r="B398" i="3" s="1"/>
  <c r="A323" i="3"/>
  <c r="E323" i="3" s="1"/>
  <c r="A395" i="3"/>
  <c r="D395" i="3" s="1"/>
  <c r="A473" i="3"/>
  <c r="D473" i="3" s="1"/>
  <c r="A359" i="3"/>
  <c r="D359" i="3" s="1"/>
  <c r="A36" i="3"/>
  <c r="E36" i="3" s="1"/>
  <c r="A479" i="3"/>
  <c r="D479" i="3" s="1"/>
  <c r="A11" i="3"/>
  <c r="D11" i="3" s="1"/>
  <c r="A462" i="3"/>
  <c r="E462" i="3" s="1"/>
  <c r="A41" i="3"/>
  <c r="E41" i="3" s="1"/>
  <c r="A110" i="3"/>
  <c r="E110" i="3" s="1"/>
  <c r="A228" i="3"/>
  <c r="B228" i="3" s="1"/>
  <c r="A305" i="3"/>
  <c r="D305" i="3" s="1"/>
  <c r="A217" i="3"/>
  <c r="B217" i="3" s="1"/>
  <c r="A129" i="3"/>
  <c r="E129" i="3" s="1"/>
  <c r="A75" i="3"/>
  <c r="E75" i="3" s="1"/>
  <c r="A207" i="3"/>
  <c r="E207" i="3" s="1"/>
  <c r="A103" i="3"/>
  <c r="B103" i="3" s="1"/>
  <c r="A135" i="3"/>
  <c r="B135" i="3" s="1"/>
  <c r="A484" i="3"/>
  <c r="E484" i="3" s="1"/>
  <c r="A368" i="3"/>
  <c r="E368" i="3" s="1"/>
  <c r="A172" i="3"/>
  <c r="E172" i="3" s="1"/>
  <c r="A88" i="3"/>
  <c r="B88" i="3" s="1"/>
  <c r="A321" i="3"/>
  <c r="D321" i="3" s="1"/>
  <c r="A121" i="3"/>
  <c r="E121" i="3" s="1"/>
  <c r="A441" i="3"/>
  <c r="E441" i="3" s="1"/>
  <c r="A26" i="3"/>
  <c r="D26" i="3" s="1"/>
  <c r="A212" i="3"/>
  <c r="B212" i="3" s="1"/>
  <c r="A157" i="3"/>
  <c r="B157" i="3" s="1"/>
  <c r="C10" i="4"/>
  <c r="D10" i="4" s="1"/>
  <c r="A404" i="3"/>
  <c r="B404" i="3" s="1"/>
  <c r="A304" i="3"/>
  <c r="B304" i="3" s="1"/>
  <c r="A329" i="3"/>
  <c r="E329" i="3" s="1"/>
  <c r="A193" i="3"/>
  <c r="B193" i="3" s="1"/>
  <c r="A215" i="3"/>
  <c r="D215" i="3" s="1"/>
  <c r="A184" i="3"/>
  <c r="D184" i="3" s="1"/>
  <c r="A192" i="3"/>
  <c r="E192" i="3" s="1"/>
  <c r="A278" i="3"/>
  <c r="E278" i="3" s="1"/>
  <c r="A431" i="3"/>
  <c r="D431" i="3" s="1"/>
  <c r="A93" i="3"/>
  <c r="D93" i="3" s="1"/>
  <c r="A85" i="3"/>
  <c r="D85" i="3" s="1"/>
  <c r="A119" i="3"/>
  <c r="E119" i="3" s="1"/>
  <c r="A394" i="3"/>
  <c r="D394" i="3" s="1"/>
  <c r="A266" i="3"/>
  <c r="D266" i="3" s="1"/>
  <c r="A128" i="3"/>
  <c r="B128" i="3" s="1"/>
  <c r="A354" i="3"/>
  <c r="E354" i="3" s="1"/>
  <c r="A37" i="3"/>
  <c r="E37" i="3" s="1"/>
  <c r="A175" i="3"/>
  <c r="D175" i="3" s="1"/>
  <c r="A127" i="3"/>
  <c r="E127" i="3" s="1"/>
  <c r="A244" i="3"/>
  <c r="D244" i="3" s="1"/>
  <c r="A432" i="3"/>
  <c r="B432" i="3" s="1"/>
  <c r="A99" i="3"/>
  <c r="E99" i="3" s="1"/>
  <c r="A276" i="3"/>
  <c r="B276" i="3" s="1"/>
  <c r="A283" i="3"/>
  <c r="E283" i="3" s="1"/>
  <c r="A197" i="3"/>
  <c r="E197" i="3" s="1"/>
  <c r="A402" i="3"/>
  <c r="B402" i="3" s="1"/>
  <c r="A440" i="3"/>
  <c r="B440" i="3" s="1"/>
  <c r="A414" i="3"/>
  <c r="D414" i="3" s="1"/>
  <c r="A10" i="3"/>
  <c r="E10" i="3" s="1"/>
  <c r="A205" i="3"/>
  <c r="E205" i="3" s="1"/>
  <c r="A211" i="3"/>
  <c r="E211" i="3" s="1"/>
  <c r="A330" i="3"/>
  <c r="D330" i="3" s="1"/>
  <c r="A328" i="3"/>
  <c r="D328" i="3" s="1"/>
  <c r="A204" i="3"/>
  <c r="B204" i="3" s="1"/>
  <c r="A433" i="3"/>
  <c r="D433" i="3" s="1"/>
  <c r="A476" i="3"/>
  <c r="B476" i="3" s="1"/>
  <c r="A208" i="3"/>
  <c r="B208" i="3" s="1"/>
  <c r="A87" i="3"/>
  <c r="D87" i="3" s="1"/>
  <c r="A227" i="3"/>
  <c r="E227" i="3" s="1"/>
  <c r="A151" i="3"/>
  <c r="D151" i="3" s="1"/>
  <c r="A138" i="3"/>
  <c r="D138" i="3" s="1"/>
  <c r="A375" i="3"/>
  <c r="D375" i="3" s="1"/>
  <c r="A191" i="3"/>
  <c r="E191" i="3" s="1"/>
  <c r="A472" i="3"/>
  <c r="E472" i="3" s="1"/>
  <c r="A245" i="3"/>
  <c r="E245" i="3" s="1"/>
  <c r="A14" i="3"/>
  <c r="D14" i="3" s="1"/>
  <c r="A225" i="3"/>
  <c r="E225" i="3" s="1"/>
  <c r="A288" i="3"/>
  <c r="B288" i="3" s="1"/>
  <c r="A376" i="3"/>
  <c r="E376" i="3" s="1"/>
  <c r="A27" i="3"/>
  <c r="D27" i="3" s="1"/>
  <c r="A237" i="3"/>
  <c r="B237" i="3" s="1"/>
  <c r="A437" i="3"/>
  <c r="B437" i="3" s="1"/>
  <c r="A411" i="3"/>
  <c r="E411" i="3" s="1"/>
  <c r="B7" i="1"/>
  <c r="B9" i="1" s="1"/>
  <c r="B12" i="1" s="1"/>
  <c r="A220" i="3"/>
  <c r="E220" i="3" s="1"/>
  <c r="A71" i="3"/>
  <c r="B71" i="3" s="1"/>
  <c r="A430" i="3"/>
  <c r="E430" i="3" s="1"/>
  <c r="A139" i="3"/>
  <c r="E139" i="3" s="1"/>
  <c r="A54" i="3"/>
  <c r="D54" i="3" s="1"/>
  <c r="A199" i="3"/>
  <c r="D199" i="3" s="1"/>
  <c r="A74" i="3"/>
  <c r="D74" i="3" s="1"/>
  <c r="A202" i="3"/>
  <c r="B202" i="3" s="1"/>
  <c r="A28" i="3"/>
  <c r="B28" i="3" s="1"/>
  <c r="A141" i="3"/>
  <c r="D141" i="3" s="1"/>
  <c r="A452" i="3"/>
  <c r="E452" i="3" s="1"/>
  <c r="A326" i="3"/>
  <c r="D326" i="3" s="1"/>
  <c r="A280" i="3"/>
  <c r="D280" i="3" s="1"/>
  <c r="A223" i="3"/>
  <c r="B223" i="3" s="1"/>
  <c r="A22" i="3"/>
  <c r="D22" i="3" s="1"/>
  <c r="A348" i="3"/>
  <c r="D348" i="3" s="1"/>
  <c r="A105" i="3"/>
  <c r="D105" i="3" s="1"/>
  <c r="A59" i="3"/>
  <c r="E59" i="3" s="1"/>
  <c r="A248" i="3"/>
  <c r="E248" i="3" s="1"/>
  <c r="A89" i="3"/>
  <c r="E89" i="3" s="1"/>
  <c r="A216" i="3"/>
  <c r="D216" i="3" s="1"/>
  <c r="A62" i="3"/>
  <c r="B62" i="3" s="1"/>
  <c r="A185" i="3"/>
  <c r="E185" i="3" s="1"/>
  <c r="A486" i="3"/>
  <c r="D486" i="3" s="1"/>
  <c r="A331" i="3"/>
  <c r="E331" i="3" s="1"/>
  <c r="A291" i="3"/>
  <c r="B291" i="3" s="1"/>
  <c r="A226" i="3"/>
  <c r="E226" i="3" s="1"/>
  <c r="A400" i="3"/>
  <c r="B400" i="3" s="1"/>
  <c r="A144" i="3"/>
  <c r="E144" i="3" s="1"/>
  <c r="A382" i="3"/>
  <c r="D382" i="3" s="1"/>
  <c r="A77" i="3"/>
  <c r="D77" i="3" s="1"/>
  <c r="A333" i="3"/>
  <c r="E333" i="3" s="1"/>
  <c r="A125" i="3"/>
  <c r="E125" i="3" s="1"/>
  <c r="A301" i="3"/>
  <c r="E301" i="3" s="1"/>
  <c r="A91" i="3"/>
  <c r="D91" i="3" s="1"/>
  <c r="A239" i="3"/>
  <c r="B239" i="3" s="1"/>
  <c r="A470" i="3"/>
  <c r="B470" i="3" s="1"/>
  <c r="A420" i="3"/>
  <c r="D420" i="3" s="1"/>
  <c r="A298" i="3"/>
  <c r="E298" i="3" s="1"/>
  <c r="A229" i="3"/>
  <c r="E229" i="3" s="1"/>
  <c r="A362" i="3"/>
  <c r="B362" i="3" s="1"/>
  <c r="A57" i="3"/>
  <c r="B57" i="3" s="1"/>
  <c r="A267" i="3"/>
  <c r="D267" i="3" s="1"/>
  <c r="A108" i="3"/>
  <c r="D108" i="3" s="1"/>
  <c r="A356" i="3"/>
  <c r="B356" i="3" s="1"/>
  <c r="A164" i="3"/>
  <c r="E164" i="3" s="1"/>
  <c r="A337" i="3"/>
  <c r="B337" i="3" s="1"/>
  <c r="A122" i="3"/>
  <c r="B122" i="3" s="1"/>
  <c r="A268" i="3"/>
  <c r="E268" i="3" s="1"/>
  <c r="A475" i="3"/>
  <c r="E475" i="3" s="1"/>
  <c r="A459" i="3"/>
  <c r="D459" i="3" s="1"/>
  <c r="A350" i="3"/>
  <c r="B350" i="3" s="1"/>
  <c r="A232" i="3"/>
  <c r="B232" i="3" s="1"/>
  <c r="A13" i="3"/>
  <c r="E13" i="3" s="1"/>
  <c r="A176" i="3"/>
  <c r="E176" i="3" s="1"/>
  <c r="A149" i="3"/>
  <c r="D149" i="3" s="1"/>
  <c r="D381" i="3"/>
  <c r="A80" i="3"/>
  <c r="D80" i="3" s="1"/>
  <c r="A467" i="3"/>
  <c r="E467" i="3" s="1"/>
  <c r="A137" i="3"/>
  <c r="E137" i="3" s="1"/>
  <c r="A386" i="3"/>
  <c r="B386" i="3" s="1"/>
  <c r="A201" i="3"/>
  <c r="B201" i="3" s="1"/>
  <c r="E381" i="3"/>
  <c r="A32" i="3"/>
  <c r="E32" i="3" s="1"/>
  <c r="A347" i="3"/>
  <c r="E347" i="3" s="1"/>
  <c r="A339" i="3"/>
  <c r="B339" i="3" s="1"/>
  <c r="A393" i="3"/>
  <c r="B393" i="3" s="1"/>
  <c r="A153" i="3"/>
  <c r="D153" i="3" s="1"/>
  <c r="A34" i="3"/>
  <c r="E34" i="3" s="1"/>
  <c r="A84" i="3"/>
  <c r="E84" i="3" s="1"/>
  <c r="A198" i="3"/>
  <c r="B198" i="3" s="1"/>
  <c r="A247" i="3"/>
  <c r="D247" i="3" s="1"/>
  <c r="A241" i="3"/>
  <c r="B241" i="3" s="1"/>
  <c r="A124" i="3"/>
  <c r="E124" i="3" s="1"/>
  <c r="A188" i="3"/>
  <c r="D188" i="3" s="1"/>
  <c r="A258" i="3"/>
  <c r="E258" i="3" s="1"/>
  <c r="A294" i="3"/>
  <c r="E294" i="3" s="1"/>
  <c r="A49" i="3"/>
  <c r="E49" i="3" s="1"/>
  <c r="A401" i="3"/>
  <c r="E401" i="3" s="1"/>
  <c r="A147" i="3"/>
  <c r="E147" i="3" s="1"/>
  <c r="A48" i="3"/>
  <c r="E48" i="3" s="1"/>
  <c r="A86" i="3"/>
  <c r="B86" i="3" s="1"/>
  <c r="A35" i="3"/>
  <c r="D35" i="3" s="1"/>
  <c r="A453" i="3"/>
  <c r="E453" i="3" s="1"/>
  <c r="A365" i="3"/>
  <c r="E365" i="3" s="1"/>
  <c r="A255" i="3"/>
  <c r="E255" i="3" s="1"/>
  <c r="A458" i="3"/>
  <c r="B458" i="3" s="1"/>
  <c r="A465" i="3"/>
  <c r="B465" i="3" s="1"/>
  <c r="A4" i="1"/>
  <c r="A403" i="3"/>
  <c r="D403" i="3" s="1"/>
  <c r="A115" i="3"/>
  <c r="D115" i="3" s="1"/>
  <c r="A233" i="3"/>
  <c r="B233" i="3" s="1"/>
  <c r="A405" i="3"/>
  <c r="E405" i="3" s="1"/>
  <c r="A83" i="3"/>
  <c r="E83" i="3" s="1"/>
  <c r="A384" i="3"/>
  <c r="D384" i="3" s="1"/>
  <c r="A45" i="3"/>
  <c r="D45" i="3" s="1"/>
  <c r="A113" i="3"/>
  <c r="B113" i="3" s="1"/>
  <c r="A370" i="3"/>
  <c r="B370" i="3" s="1"/>
  <c r="A388" i="3"/>
  <c r="B388" i="3" s="1"/>
  <c r="A82" i="3"/>
  <c r="D82" i="3" s="1"/>
  <c r="A334" i="3"/>
  <c r="B334" i="3" s="1"/>
  <c r="A477" i="3"/>
  <c r="D477" i="3" s="1"/>
  <c r="A380" i="3"/>
  <c r="B380" i="3" s="1"/>
  <c r="A313" i="3"/>
  <c r="E313" i="3" s="1"/>
  <c r="A25" i="3"/>
  <c r="E25" i="3" s="1"/>
  <c r="A148" i="3"/>
  <c r="E148" i="3" s="1"/>
  <c r="A178" i="3"/>
  <c r="E178" i="3" s="1"/>
  <c r="A78" i="3"/>
  <c r="D78" i="3" s="1"/>
  <c r="A163" i="3"/>
  <c r="E163" i="3" s="1"/>
  <c r="A261" i="3"/>
  <c r="D261" i="3" s="1"/>
  <c r="A387" i="3"/>
  <c r="D387" i="3" s="1"/>
  <c r="A284" i="3"/>
  <c r="B284" i="3" s="1"/>
  <c r="A474" i="3"/>
  <c r="D474" i="3" s="1"/>
  <c r="A455" i="3"/>
  <c r="E455" i="3" s="1"/>
  <c r="A222" i="3"/>
  <c r="B222" i="3" s="1"/>
  <c r="A363" i="3"/>
  <c r="E363" i="3" s="1"/>
  <c r="A136" i="3"/>
  <c r="B136" i="3" s="1"/>
  <c r="A31" i="3"/>
  <c r="B31" i="3" s="1"/>
  <c r="A413" i="3"/>
  <c r="E413" i="3" s="1"/>
  <c r="A454" i="3"/>
  <c r="B454" i="3" s="1"/>
  <c r="A335" i="3"/>
  <c r="D335" i="3" s="1"/>
  <c r="A327" i="3"/>
  <c r="E327" i="3" s="1"/>
  <c r="A443" i="3"/>
  <c r="D443" i="3" s="1"/>
  <c r="A322" i="3"/>
  <c r="B322" i="3" s="1"/>
  <c r="A234" i="3"/>
  <c r="D234" i="3" s="1"/>
  <c r="A389" i="3"/>
  <c r="D389" i="3" s="1"/>
  <c r="A206" i="3"/>
  <c r="E206" i="3" s="1"/>
  <c r="A65" i="3"/>
  <c r="E65" i="3" s="1"/>
  <c r="A96" i="3"/>
  <c r="B96" i="3" s="1"/>
  <c r="A60" i="3"/>
  <c r="D60" i="3" s="1"/>
  <c r="A369" i="3"/>
  <c r="E369" i="3" s="1"/>
  <c r="A419" i="3"/>
  <c r="E419" i="3" s="1"/>
  <c r="A311" i="3"/>
  <c r="E311" i="3" s="1"/>
  <c r="A397" i="3"/>
  <c r="D397" i="3" s="1"/>
  <c r="A102" i="3"/>
  <c r="B102" i="3" s="1"/>
  <c r="A167" i="3"/>
  <c r="D167" i="3" s="1"/>
  <c r="A120" i="3"/>
  <c r="D120" i="3" s="1"/>
  <c r="A131" i="3"/>
  <c r="B131" i="3" s="1"/>
  <c r="A425" i="3"/>
  <c r="B425" i="3" s="1"/>
  <c r="A107" i="3"/>
  <c r="E107" i="3" s="1"/>
  <c r="A379" i="3"/>
  <c r="E379" i="3" s="1"/>
  <c r="A196" i="3"/>
  <c r="B196" i="3" s="1"/>
  <c r="A434" i="3"/>
  <c r="D434" i="3" s="1"/>
  <c r="A336" i="3"/>
  <c r="B336" i="3" s="1"/>
  <c r="A242" i="3"/>
  <c r="D242" i="3" s="1"/>
  <c r="A133" i="3"/>
  <c r="E133" i="3" s="1"/>
  <c r="A243" i="3"/>
  <c r="E243" i="3" s="1"/>
  <c r="A162" i="3"/>
  <c r="E162" i="3" s="1"/>
  <c r="A254" i="3"/>
  <c r="D254" i="3" s="1"/>
  <c r="A343" i="3"/>
  <c r="D343" i="3" s="1"/>
  <c r="A407" i="3"/>
  <c r="D407" i="3" s="1"/>
  <c r="A345" i="3"/>
  <c r="B345" i="3" s="1"/>
  <c r="A415" i="3"/>
  <c r="B415" i="3" s="1"/>
  <c r="A406" i="3"/>
  <c r="D406" i="3" s="1"/>
  <c r="A324" i="3"/>
  <c r="B324" i="3" s="1"/>
  <c r="A203" i="3"/>
  <c r="E203" i="3" s="1"/>
  <c r="A471" i="3"/>
  <c r="B471" i="3" s="1"/>
  <c r="A428" i="3"/>
  <c r="B428" i="3" s="1"/>
  <c r="A340" i="3"/>
  <c r="E340" i="3" s="1"/>
  <c r="A418" i="3"/>
  <c r="D418" i="3" s="1"/>
  <c r="A264" i="3"/>
  <c r="B264" i="3" s="1"/>
  <c r="A68" i="3"/>
  <c r="E68" i="3" s="1"/>
  <c r="A448" i="3"/>
  <c r="D448" i="3" s="1"/>
  <c r="A265" i="3"/>
  <c r="B265" i="3" s="1"/>
  <c r="A195" i="3"/>
  <c r="E195" i="3" s="1"/>
  <c r="A366" i="3"/>
  <c r="E366" i="3" s="1"/>
  <c r="A364" i="3"/>
  <c r="D364" i="3" s="1"/>
  <c r="A177" i="3"/>
  <c r="E177" i="3" s="1"/>
  <c r="A76" i="3"/>
  <c r="E76" i="3" s="1"/>
  <c r="A210" i="3"/>
  <c r="D210" i="3" s="1"/>
  <c r="A194" i="3"/>
  <c r="D194" i="3" s="1"/>
  <c r="A15" i="3"/>
  <c r="E15" i="3" s="1"/>
  <c r="A47" i="3"/>
  <c r="E47" i="3" s="1"/>
  <c r="A81" i="3"/>
  <c r="D81" i="3" s="1"/>
  <c r="A262" i="3"/>
  <c r="B262" i="3" s="1"/>
  <c r="A173" i="3"/>
  <c r="E173" i="3" s="1"/>
  <c r="A274" i="3"/>
  <c r="B274" i="3" s="1"/>
  <c r="A423" i="3"/>
  <c r="B423" i="3" s="1"/>
  <c r="A446" i="3"/>
  <c r="E446" i="3" s="1"/>
  <c r="A114" i="3"/>
  <c r="E114" i="3" s="1"/>
  <c r="A18" i="3"/>
  <c r="D18" i="3" s="1"/>
  <c r="A52" i="3"/>
  <c r="D52" i="3" s="1"/>
  <c r="A293" i="3"/>
  <c r="E293" i="3" s="1"/>
  <c r="A156" i="3"/>
  <c r="E156" i="3" s="1"/>
  <c r="A436" i="3"/>
  <c r="E436" i="3" s="1"/>
  <c r="A132" i="3"/>
  <c r="B132" i="3" s="1"/>
  <c r="A417" i="3"/>
  <c r="E417" i="3" s="1"/>
  <c r="A218" i="3"/>
  <c r="B218" i="3" s="1"/>
  <c r="A485" i="3"/>
  <c r="E485" i="3" s="1"/>
  <c r="A349" i="3"/>
  <c r="B349" i="3" s="1"/>
  <c r="A21" i="3"/>
  <c r="D21" i="3" s="1"/>
  <c r="A123" i="3"/>
  <c r="E123" i="3" s="1"/>
  <c r="A116" i="3"/>
  <c r="B116" i="3" s="1"/>
  <c r="A320" i="3"/>
  <c r="D320" i="3" s="1"/>
  <c r="A399" i="3"/>
  <c r="E399" i="3" s="1"/>
  <c r="A174" i="3"/>
  <c r="D174" i="3" s="1"/>
  <c r="A240" i="3"/>
  <c r="D240" i="3" s="1"/>
  <c r="A238" i="3"/>
  <c r="B238" i="3" s="1"/>
  <c r="A73" i="3"/>
  <c r="E73" i="3" s="1"/>
  <c r="A171" i="3"/>
  <c r="D171" i="3" s="1"/>
  <c r="A269" i="3"/>
  <c r="B269" i="3" s="1"/>
  <c r="A275" i="3"/>
  <c r="E275" i="3" s="1"/>
  <c r="A371" i="3"/>
  <c r="D371" i="3" s="1"/>
  <c r="A396" i="3"/>
  <c r="D396" i="3" s="1"/>
  <c r="A249" i="3"/>
  <c r="B249" i="3" s="1"/>
  <c r="A373" i="3"/>
  <c r="D373" i="3" s="1"/>
  <c r="A224" i="3"/>
  <c r="D224" i="3" s="1"/>
  <c r="A259" i="3"/>
  <c r="D259" i="3" s="1"/>
  <c r="A290" i="3"/>
  <c r="D290" i="3" s="1"/>
  <c r="A277" i="3"/>
  <c r="D277" i="3" s="1"/>
  <c r="A111" i="3"/>
  <c r="E111" i="3" s="1"/>
  <c r="A109" i="3"/>
  <c r="E109" i="3" s="1"/>
  <c r="A308" i="3"/>
  <c r="E308" i="3" s="1"/>
  <c r="A303" i="3"/>
  <c r="D303" i="3" s="1"/>
  <c r="A319" i="3"/>
  <c r="E319" i="3" s="1"/>
  <c r="A300" i="3"/>
  <c r="D300" i="3" s="1"/>
  <c r="A100" i="3"/>
  <c r="E100" i="3" s="1"/>
  <c r="A161" i="3"/>
  <c r="E161" i="3" s="1"/>
  <c r="A44" i="3"/>
  <c r="E44" i="3" s="1"/>
  <c r="A17" i="3"/>
  <c r="E17" i="3" s="1"/>
  <c r="A374" i="3"/>
  <c r="E374" i="3" s="1"/>
  <c r="A279" i="3"/>
  <c r="B279" i="3" s="1"/>
  <c r="A246" i="3"/>
  <c r="E246" i="3" s="1"/>
  <c r="A281" i="3"/>
  <c r="B281" i="3" s="1"/>
  <c r="A42" i="3"/>
  <c r="E42" i="3" s="1"/>
  <c r="C8" i="4"/>
  <c r="D8" i="4" s="1"/>
  <c r="A142" i="3"/>
  <c r="E142" i="3" s="1"/>
  <c r="A38" i="3"/>
  <c r="D38" i="3" s="1"/>
  <c r="A95" i="3"/>
  <c r="B95" i="3" s="1"/>
  <c r="A310" i="3"/>
  <c r="B310" i="3" s="1"/>
  <c r="A169" i="3"/>
  <c r="B169" i="3" s="1"/>
  <c r="A464" i="3"/>
  <c r="E464" i="3" s="1"/>
  <c r="A154" i="3"/>
  <c r="E154" i="3" s="1"/>
  <c r="A429" i="3"/>
  <c r="E429" i="3" s="1"/>
  <c r="A231" i="3"/>
  <c r="E231" i="3" s="1"/>
  <c r="A332" i="3"/>
  <c r="B332" i="3" s="1"/>
  <c r="A372" i="3"/>
  <c r="B372" i="3" s="1"/>
  <c r="A325" i="3"/>
  <c r="B325" i="3" s="1"/>
  <c r="A101" i="3"/>
  <c r="E101" i="3" s="1"/>
  <c r="A112" i="3"/>
  <c r="D112" i="3" s="1"/>
  <c r="A90" i="3"/>
  <c r="B90" i="3" s="1"/>
  <c r="A67" i="3"/>
  <c r="E67" i="3" s="1"/>
  <c r="A39" i="3"/>
  <c r="A12" i="3"/>
  <c r="D12" i="3" s="1"/>
  <c r="A61" i="3"/>
  <c r="B61" i="3" s="1"/>
  <c r="A358" i="3"/>
  <c r="D358" i="3" s="1"/>
  <c r="A117" i="3"/>
  <c r="E117" i="3" s="1"/>
  <c r="A70" i="3"/>
  <c r="D70" i="3" s="1"/>
  <c r="B7" i="3"/>
  <c r="D7" i="3"/>
  <c r="C7" i="3"/>
  <c r="E7" i="3"/>
  <c r="D444" i="3"/>
  <c r="E444" i="3"/>
  <c r="B367" i="3"/>
  <c r="B435" i="3"/>
  <c r="E180" i="3"/>
  <c r="D79" i="3"/>
  <c r="E182" i="3"/>
  <c r="D236" i="3" l="1"/>
  <c r="B236" i="3"/>
  <c r="D134" i="3"/>
  <c r="B338" i="3"/>
  <c r="E461" i="3"/>
  <c r="B360" i="3"/>
  <c r="D251" i="3"/>
  <c r="D360" i="3"/>
  <c r="D29" i="3"/>
  <c r="E338" i="3"/>
  <c r="E29" i="3"/>
  <c r="E134" i="3"/>
  <c r="B79" i="3"/>
  <c r="D260" i="3"/>
  <c r="B180" i="3"/>
  <c r="E390" i="3"/>
  <c r="E20" i="3"/>
  <c r="B20" i="3"/>
  <c r="B424" i="3"/>
  <c r="E424" i="3"/>
  <c r="B260" i="3"/>
  <c r="B182" i="3"/>
  <c r="D435" i="3"/>
  <c r="E295" i="3"/>
  <c r="B478" i="3"/>
  <c r="D478" i="3"/>
  <c r="D252" i="3"/>
  <c r="E252" i="3"/>
  <c r="B318" i="3"/>
  <c r="D318" i="3"/>
  <c r="B426" i="3"/>
  <c r="D33" i="3"/>
  <c r="B187" i="3"/>
  <c r="D214" i="3"/>
  <c r="E214" i="3"/>
  <c r="E391" i="3"/>
  <c r="E24" i="3"/>
  <c r="D187" i="3"/>
  <c r="E357" i="3"/>
  <c r="B144" i="3"/>
  <c r="D270" i="3"/>
  <c r="D309" i="3"/>
  <c r="E309" i="3"/>
  <c r="D144" i="3"/>
  <c r="B230" i="3"/>
  <c r="D230" i="3"/>
  <c r="B270" i="3"/>
  <c r="E426" i="3"/>
  <c r="E256" i="3"/>
  <c r="E150" i="3"/>
  <c r="D170" i="3"/>
  <c r="B422" i="3"/>
  <c r="B150" i="3"/>
  <c r="D422" i="3"/>
  <c r="D317" i="3"/>
  <c r="B282" i="3"/>
  <c r="D282" i="3"/>
  <c r="B221" i="3"/>
  <c r="E181" i="3"/>
  <c r="E317" i="3"/>
  <c r="B33" i="3"/>
  <c r="E9" i="3"/>
  <c r="D449" i="3"/>
  <c r="B449" i="3"/>
  <c r="B50" i="3"/>
  <c r="E351" i="3"/>
  <c r="D50" i="3"/>
  <c r="D9" i="3"/>
  <c r="B271" i="3"/>
  <c r="E160" i="3"/>
  <c r="B463" i="3"/>
  <c r="B14" i="3"/>
  <c r="B306" i="3"/>
  <c r="D427" i="3"/>
  <c r="E395" i="3"/>
  <c r="B427" i="3"/>
  <c r="B395" i="3"/>
  <c r="E286" i="3"/>
  <c r="E146" i="3"/>
  <c r="E272" i="3"/>
  <c r="D463" i="3"/>
  <c r="D213" i="3"/>
  <c r="E19" i="3"/>
  <c r="B286" i="3"/>
  <c r="D284" i="3"/>
  <c r="E284" i="3"/>
  <c r="B213" i="3"/>
  <c r="D272" i="3"/>
  <c r="E55" i="3"/>
  <c r="D271" i="3"/>
  <c r="D30" i="3"/>
  <c r="B58" i="3"/>
  <c r="E457" i="3"/>
  <c r="D408" i="3"/>
  <c r="B160" i="3"/>
  <c r="D130" i="3"/>
  <c r="D53" i="3"/>
  <c r="D466" i="3"/>
  <c r="E466" i="3"/>
  <c r="E392" i="3"/>
  <c r="B457" i="3"/>
  <c r="E408" i="3"/>
  <c r="D299" i="3"/>
  <c r="E130" i="3"/>
  <c r="B229" i="3"/>
  <c r="E51" i="3"/>
  <c r="D392" i="3"/>
  <c r="B296" i="3"/>
  <c r="B98" i="3"/>
  <c r="D273" i="3"/>
  <c r="D296" i="3"/>
  <c r="D98" i="3"/>
  <c r="E273" i="3"/>
  <c r="B53" i="3"/>
  <c r="B391" i="3"/>
  <c r="B390" i="3"/>
  <c r="D442" i="3"/>
  <c r="D307" i="3"/>
  <c r="E189" i="3"/>
  <c r="B456" i="3"/>
  <c r="E307" i="3"/>
  <c r="B146" i="3"/>
  <c r="B253" i="3"/>
  <c r="E383" i="3"/>
  <c r="B189" i="3"/>
  <c r="D306" i="3"/>
  <c r="D456" i="3"/>
  <c r="E377" i="3"/>
  <c r="B383" i="3"/>
  <c r="B342" i="3"/>
  <c r="D58" i="3"/>
  <c r="B235" i="3"/>
  <c r="D46" i="3"/>
  <c r="B378" i="3"/>
  <c r="B257" i="3"/>
  <c r="E378" i="3"/>
  <c r="D8" i="3"/>
  <c r="D23" i="3"/>
  <c r="D353" i="3"/>
  <c r="D352" i="3"/>
  <c r="E69" i="3"/>
  <c r="D276" i="3"/>
  <c r="E43" i="3"/>
  <c r="B152" i="3"/>
  <c r="B106" i="3"/>
  <c r="E64" i="3"/>
  <c r="D186" i="3"/>
  <c r="D409" i="3"/>
  <c r="D69" i="3"/>
  <c r="E118" i="3"/>
  <c r="B92" i="3"/>
  <c r="D178" i="3"/>
  <c r="B23" i="3"/>
  <c r="B186" i="3"/>
  <c r="E409" i="3"/>
  <c r="D55" i="3"/>
  <c r="E66" i="3"/>
  <c r="D257" i="3"/>
  <c r="E385" i="3"/>
  <c r="B64" i="3"/>
  <c r="D314" i="3"/>
  <c r="D152" i="3"/>
  <c r="B209" i="3"/>
  <c r="D43" i="3"/>
  <c r="D209" i="3"/>
  <c r="B355" i="3"/>
  <c r="B361" i="3"/>
  <c r="B219" i="3"/>
  <c r="D118" i="3"/>
  <c r="B66" i="3"/>
  <c r="D289" i="3"/>
  <c r="B314" i="3"/>
  <c r="B439" i="3"/>
  <c r="B481" i="3"/>
  <c r="D16" i="3"/>
  <c r="E302" i="3"/>
  <c r="B460" i="3"/>
  <c r="D72" i="3"/>
  <c r="D219" i="3"/>
  <c r="D92" i="3"/>
  <c r="E342" i="3"/>
  <c r="D412" i="3"/>
  <c r="E46" i="3"/>
  <c r="D316" i="3"/>
  <c r="E16" i="3"/>
  <c r="D302" i="3"/>
  <c r="B143" i="3"/>
  <c r="D250" i="3"/>
  <c r="E292" i="3"/>
  <c r="E460" i="3"/>
  <c r="B72" i="3"/>
  <c r="D63" i="3"/>
  <c r="E140" i="3"/>
  <c r="D253" i="3"/>
  <c r="B353" i="3"/>
  <c r="E316" i="3"/>
  <c r="B263" i="3"/>
  <c r="D263" i="3"/>
  <c r="B51" i="3"/>
  <c r="B181" i="3"/>
  <c r="E30" i="3"/>
  <c r="E63" i="3"/>
  <c r="D159" i="3"/>
  <c r="B8" i="3"/>
  <c r="E361" i="3"/>
  <c r="D143" i="3"/>
  <c r="D292" i="3"/>
  <c r="E416" i="3"/>
  <c r="B312" i="3"/>
  <c r="B183" i="3"/>
  <c r="B421" i="3"/>
  <c r="E410" i="3"/>
  <c r="E312" i="3"/>
  <c r="D183" i="3"/>
  <c r="B410" i="3"/>
  <c r="D461" i="3"/>
  <c r="D157" i="3"/>
  <c r="B158" i="3"/>
  <c r="B94" i="3"/>
  <c r="E355" i="3"/>
  <c r="D469" i="3"/>
  <c r="D145" i="3"/>
  <c r="D483" i="3"/>
  <c r="E251" i="3"/>
  <c r="E341" i="3"/>
  <c r="D158" i="3"/>
  <c r="E14" i="3"/>
  <c r="D283" i="3"/>
  <c r="E212" i="3"/>
  <c r="D94" i="3"/>
  <c r="B19" i="3"/>
  <c r="B352" i="3"/>
  <c r="B351" i="3"/>
  <c r="B357" i="3"/>
  <c r="B295" i="3"/>
  <c r="E170" i="3"/>
  <c r="E145" i="3"/>
  <c r="B24" i="3"/>
  <c r="E404" i="3"/>
  <c r="D235" i="3"/>
  <c r="B283" i="3"/>
  <c r="B256" i="3"/>
  <c r="D40" i="3"/>
  <c r="E40" i="3"/>
  <c r="E126" i="3"/>
  <c r="E469" i="3"/>
  <c r="E483" i="3"/>
  <c r="B341" i="3"/>
  <c r="E289" i="3"/>
  <c r="D126" i="3"/>
  <c r="D212" i="3"/>
  <c r="D367" i="3"/>
  <c r="B165" i="3"/>
  <c r="D190" i="3"/>
  <c r="E190" i="3"/>
  <c r="B56" i="3"/>
  <c r="E71" i="3"/>
  <c r="B482" i="3"/>
  <c r="E482" i="3"/>
  <c r="E104" i="3"/>
  <c r="D315" i="3"/>
  <c r="B445" i="3"/>
  <c r="D106" i="3"/>
  <c r="E221" i="3"/>
  <c r="D166" i="3"/>
  <c r="D288" i="3"/>
  <c r="D450" i="3"/>
  <c r="E438" i="3"/>
  <c r="B447" i="3"/>
  <c r="D451" i="3"/>
  <c r="D480" i="3"/>
  <c r="B468" i="3"/>
  <c r="B330" i="3"/>
  <c r="D165" i="3"/>
  <c r="B179" i="3"/>
  <c r="E250" i="3"/>
  <c r="E299" i="3"/>
  <c r="B344" i="3"/>
  <c r="B200" i="3"/>
  <c r="B36" i="3"/>
  <c r="E179" i="3"/>
  <c r="E344" i="3"/>
  <c r="D104" i="3"/>
  <c r="B315" i="3"/>
  <c r="B450" i="3"/>
  <c r="B416" i="3"/>
  <c r="B377" i="3"/>
  <c r="E237" i="3"/>
  <c r="E445" i="3"/>
  <c r="E166" i="3"/>
  <c r="E288" i="3"/>
  <c r="B438" i="3"/>
  <c r="E447" i="3"/>
  <c r="E451" i="3"/>
  <c r="E480" i="3"/>
  <c r="D468" i="3"/>
  <c r="E330" i="3"/>
  <c r="D36" i="3"/>
  <c r="E473" i="3"/>
  <c r="E412" i="3"/>
  <c r="B442" i="3"/>
  <c r="B225" i="3"/>
  <c r="D297" i="3"/>
  <c r="E159" i="3"/>
  <c r="E439" i="3"/>
  <c r="B346" i="3"/>
  <c r="B97" i="3"/>
  <c r="E167" i="3"/>
  <c r="B99" i="3"/>
  <c r="D385" i="3"/>
  <c r="B140" i="3"/>
  <c r="B155" i="3"/>
  <c r="B285" i="3"/>
  <c r="E56" i="3"/>
  <c r="D200" i="3"/>
  <c r="B473" i="3"/>
  <c r="D225" i="3"/>
  <c r="E297" i="3"/>
  <c r="E346" i="3"/>
  <c r="D97" i="3"/>
  <c r="D421" i="3"/>
  <c r="D99" i="3"/>
  <c r="D481" i="3"/>
  <c r="D155" i="3"/>
  <c r="D285" i="3"/>
  <c r="D278" i="3"/>
  <c r="D376" i="3"/>
  <c r="B184" i="3"/>
  <c r="B11" i="3"/>
  <c r="E440" i="3"/>
  <c r="E11" i="3"/>
  <c r="D404" i="3"/>
  <c r="D402" i="3"/>
  <c r="E402" i="3"/>
  <c r="E276" i="3"/>
  <c r="D304" i="3"/>
  <c r="D329" i="3"/>
  <c r="E398" i="3"/>
  <c r="D248" i="3"/>
  <c r="E157" i="3"/>
  <c r="B27" i="3"/>
  <c r="E359" i="3"/>
  <c r="E259" i="3"/>
  <c r="E228" i="3"/>
  <c r="C48" i="5"/>
  <c r="D440" i="3"/>
  <c r="B376" i="3"/>
  <c r="D197" i="3"/>
  <c r="B479" i="3"/>
  <c r="B359" i="3"/>
  <c r="D398" i="3"/>
  <c r="B197" i="3"/>
  <c r="D228" i="3"/>
  <c r="E27" i="3"/>
  <c r="B323" i="3"/>
  <c r="E437" i="3"/>
  <c r="B462" i="3"/>
  <c r="B168" i="3"/>
  <c r="B205" i="3"/>
  <c r="B211" i="3"/>
  <c r="E304" i="3"/>
  <c r="E479" i="3"/>
  <c r="C30" i="5"/>
  <c r="D323" i="3"/>
  <c r="D287" i="3"/>
  <c r="D462" i="3"/>
  <c r="E168" i="3"/>
  <c r="B329" i="3"/>
  <c r="B248" i="3"/>
  <c r="C29" i="5"/>
  <c r="D237" i="3"/>
  <c r="B287" i="3"/>
  <c r="D135" i="3"/>
  <c r="E208" i="3"/>
  <c r="D71" i="3"/>
  <c r="E199" i="3"/>
  <c r="E382" i="3"/>
  <c r="E232" i="3"/>
  <c r="D475" i="3"/>
  <c r="B382" i="3"/>
  <c r="D211" i="3"/>
  <c r="B199" i="3"/>
  <c r="B119" i="3"/>
  <c r="D119" i="3"/>
  <c r="E328" i="3"/>
  <c r="B278" i="3"/>
  <c r="D232" i="3"/>
  <c r="E184" i="3"/>
  <c r="D411" i="3"/>
  <c r="E85" i="3"/>
  <c r="B85" i="3"/>
  <c r="E87" i="3"/>
  <c r="D192" i="3"/>
  <c r="E77" i="3"/>
  <c r="B87" i="3"/>
  <c r="B192" i="3"/>
  <c r="D437" i="3"/>
  <c r="D208" i="3"/>
  <c r="C34" i="5"/>
  <c r="C36" i="5"/>
  <c r="C35" i="5"/>
  <c r="E414" i="3"/>
  <c r="D139" i="3"/>
  <c r="D193" i="3"/>
  <c r="C44" i="5"/>
  <c r="B139" i="3"/>
  <c r="C31" i="5"/>
  <c r="E193" i="3"/>
  <c r="C32" i="5"/>
  <c r="B328" i="3"/>
  <c r="D110" i="3"/>
  <c r="B411" i="3"/>
  <c r="C46" i="5"/>
  <c r="C45" i="5"/>
  <c r="B75" i="3"/>
  <c r="B74" i="3"/>
  <c r="D75" i="3"/>
  <c r="B77" i="3"/>
  <c r="C47" i="5"/>
  <c r="B459" i="3"/>
  <c r="C49" i="5"/>
  <c r="B10" i="3"/>
  <c r="D103" i="3"/>
  <c r="D10" i="3"/>
  <c r="D220" i="3"/>
  <c r="D227" i="3"/>
  <c r="B430" i="3"/>
  <c r="E459" i="3"/>
  <c r="E375" i="3"/>
  <c r="B394" i="3"/>
  <c r="E103" i="3"/>
  <c r="B41" i="3"/>
  <c r="B375" i="3"/>
  <c r="B176" i="3"/>
  <c r="D13" i="3"/>
  <c r="D430" i="3"/>
  <c r="B227" i="3"/>
  <c r="D207" i="3"/>
  <c r="D476" i="3"/>
  <c r="B13" i="3"/>
  <c r="E321" i="3"/>
  <c r="C26" i="5"/>
  <c r="D226" i="3"/>
  <c r="B207" i="3"/>
  <c r="E476" i="3"/>
  <c r="B54" i="3"/>
  <c r="D41" i="3"/>
  <c r="D205" i="3"/>
  <c r="B245" i="3"/>
  <c r="E54" i="3"/>
  <c r="B484" i="3"/>
  <c r="B340" i="3"/>
  <c r="D127" i="3"/>
  <c r="D310" i="3"/>
  <c r="B224" i="3"/>
  <c r="E38" i="3"/>
  <c r="D172" i="3"/>
  <c r="B475" i="3"/>
  <c r="C38" i="5"/>
  <c r="B76" i="3"/>
  <c r="D400" i="3"/>
  <c r="D432" i="3"/>
  <c r="B369" i="3"/>
  <c r="E432" i="3"/>
  <c r="E400" i="3"/>
  <c r="E310" i="3"/>
  <c r="B172" i="3"/>
  <c r="B8" i="1"/>
  <c r="B26" i="3"/>
  <c r="C33" i="5"/>
  <c r="C50" i="5"/>
  <c r="B441" i="3"/>
  <c r="B244" i="3"/>
  <c r="E244" i="3"/>
  <c r="E396" i="3"/>
  <c r="D369" i="3"/>
  <c r="B127" i="3"/>
  <c r="E26" i="3"/>
  <c r="E93" i="3"/>
  <c r="D128" i="3"/>
  <c r="E135" i="3"/>
  <c r="D129" i="3"/>
  <c r="D472" i="3"/>
  <c r="E169" i="3"/>
  <c r="D217" i="3"/>
  <c r="D331" i="3"/>
  <c r="D223" i="3"/>
  <c r="B298" i="3"/>
  <c r="B110" i="3"/>
  <c r="E215" i="3"/>
  <c r="B37" i="3"/>
  <c r="C43" i="5"/>
  <c r="B175" i="3"/>
  <c r="D204" i="3"/>
  <c r="E350" i="3"/>
  <c r="B368" i="3"/>
  <c r="D484" i="3"/>
  <c r="D350" i="3"/>
  <c r="B472" i="3"/>
  <c r="D368" i="3"/>
  <c r="D88" i="3"/>
  <c r="E373" i="3"/>
  <c r="B431" i="3"/>
  <c r="E128" i="3"/>
  <c r="B305" i="3"/>
  <c r="B331" i="3"/>
  <c r="E91" i="3"/>
  <c r="E266" i="3"/>
  <c r="B191" i="3"/>
  <c r="D268" i="3"/>
  <c r="B215" i="3"/>
  <c r="B467" i="3"/>
  <c r="D37" i="3"/>
  <c r="C40" i="5"/>
  <c r="E433" i="3"/>
  <c r="D245" i="3"/>
  <c r="D340" i="3"/>
  <c r="D441" i="3"/>
  <c r="E175" i="3"/>
  <c r="E204" i="3"/>
  <c r="E138" i="3"/>
  <c r="B138" i="3"/>
  <c r="B373" i="3"/>
  <c r="B129" i="3"/>
  <c r="E305" i="3"/>
  <c r="E428" i="3"/>
  <c r="B220" i="3"/>
  <c r="D142" i="3"/>
  <c r="D458" i="3"/>
  <c r="B91" i="3"/>
  <c r="B266" i="3"/>
  <c r="D191" i="3"/>
  <c r="B268" i="3"/>
  <c r="E291" i="3"/>
  <c r="D467" i="3"/>
  <c r="C41" i="5"/>
  <c r="B433" i="3"/>
  <c r="E102" i="3"/>
  <c r="B226" i="3"/>
  <c r="E88" i="3"/>
  <c r="E217" i="3"/>
  <c r="C39" i="5"/>
  <c r="E458" i="3"/>
  <c r="B151" i="3"/>
  <c r="D291" i="3"/>
  <c r="D453" i="3"/>
  <c r="C27" i="5"/>
  <c r="B121" i="3"/>
  <c r="E386" i="3"/>
  <c r="D169" i="3"/>
  <c r="D298" i="3"/>
  <c r="E431" i="3"/>
  <c r="D354" i="3"/>
  <c r="E394" i="3"/>
  <c r="B321" i="3"/>
  <c r="E151" i="3"/>
  <c r="C42" i="5"/>
  <c r="D121" i="3"/>
  <c r="B414" i="3"/>
  <c r="B93" i="3"/>
  <c r="C37" i="5"/>
  <c r="E22" i="3"/>
  <c r="B354" i="3"/>
  <c r="E35" i="3"/>
  <c r="C28" i="5"/>
  <c r="D102" i="3"/>
  <c r="D356" i="3"/>
  <c r="E356" i="3"/>
  <c r="E471" i="3"/>
  <c r="E280" i="3"/>
  <c r="B89" i="3"/>
  <c r="B420" i="3"/>
  <c r="B280" i="3"/>
  <c r="E239" i="3"/>
  <c r="D89" i="3"/>
  <c r="E420" i="3"/>
  <c r="D176" i="3"/>
  <c r="B125" i="3"/>
  <c r="E223" i="3"/>
  <c r="D419" i="3"/>
  <c r="D125" i="3"/>
  <c r="B452" i="3"/>
  <c r="D452" i="3"/>
  <c r="E108" i="3"/>
  <c r="D231" i="3"/>
  <c r="D59" i="3"/>
  <c r="D429" i="3"/>
  <c r="B18" i="3"/>
  <c r="B259" i="3"/>
  <c r="B52" i="3"/>
  <c r="D446" i="3"/>
  <c r="B163" i="3"/>
  <c r="D107" i="3"/>
  <c r="D436" i="3"/>
  <c r="E224" i="3"/>
  <c r="B371" i="3"/>
  <c r="E52" i="3"/>
  <c r="D163" i="3"/>
  <c r="E261" i="3"/>
  <c r="E18" i="3"/>
  <c r="E371" i="3"/>
  <c r="D255" i="3"/>
  <c r="B22" i="3"/>
  <c r="D428" i="3"/>
  <c r="E326" i="3"/>
  <c r="E95" i="3"/>
  <c r="B277" i="3"/>
  <c r="B326" i="3"/>
  <c r="D470" i="3"/>
  <c r="D201" i="3"/>
  <c r="B108" i="3"/>
  <c r="E324" i="3"/>
  <c r="B474" i="3"/>
  <c r="E474" i="3"/>
  <c r="B149" i="3"/>
  <c r="E45" i="3"/>
  <c r="E337" i="3"/>
  <c r="D337" i="3"/>
  <c r="E247" i="3"/>
  <c r="B333" i="3"/>
  <c r="B267" i="3"/>
  <c r="D239" i="3"/>
  <c r="B105" i="3"/>
  <c r="B167" i="3"/>
  <c r="D339" i="3"/>
  <c r="E470" i="3"/>
  <c r="E454" i="3"/>
  <c r="D333" i="3"/>
  <c r="B247" i="3"/>
  <c r="E105" i="3"/>
  <c r="E267" i="3"/>
  <c r="E28" i="3"/>
  <c r="D122" i="3"/>
  <c r="B301" i="3"/>
  <c r="D28" i="3"/>
  <c r="B59" i="3"/>
  <c r="D301" i="3"/>
  <c r="D471" i="3"/>
  <c r="B164" i="3"/>
  <c r="E80" i="3"/>
  <c r="E122" i="3"/>
  <c r="B453" i="3"/>
  <c r="E149" i="3"/>
  <c r="E348" i="3"/>
  <c r="D362" i="3"/>
  <c r="B486" i="3"/>
  <c r="B185" i="3"/>
  <c r="E216" i="3"/>
  <c r="B38" i="3"/>
  <c r="D137" i="3"/>
  <c r="E141" i="3"/>
  <c r="E57" i="3"/>
  <c r="B348" i="3"/>
  <c r="B154" i="3"/>
  <c r="E62" i="3"/>
  <c r="D185" i="3"/>
  <c r="B216" i="3"/>
  <c r="B141" i="3"/>
  <c r="D57" i="3"/>
  <c r="B80" i="3"/>
  <c r="E362" i="3"/>
  <c r="D464" i="3"/>
  <c r="D202" i="3"/>
  <c r="E486" i="3"/>
  <c r="D62" i="3"/>
  <c r="D229" i="3"/>
  <c r="E74" i="3"/>
  <c r="E202" i="3"/>
  <c r="D164" i="3"/>
  <c r="B429" i="3"/>
  <c r="D386" i="3"/>
  <c r="B120" i="3"/>
  <c r="E448" i="3"/>
  <c r="D95" i="3"/>
  <c r="B177" i="3"/>
  <c r="B448" i="3"/>
  <c r="D393" i="3"/>
  <c r="D332" i="3"/>
  <c r="E393" i="3"/>
  <c r="B255" i="3"/>
  <c r="D177" i="3"/>
  <c r="B107" i="3"/>
  <c r="B436" i="3"/>
  <c r="E387" i="3"/>
  <c r="D293" i="3"/>
  <c r="B293" i="3"/>
  <c r="E465" i="3"/>
  <c r="B397" i="3"/>
  <c r="E249" i="3"/>
  <c r="E201" i="3"/>
  <c r="D249" i="3"/>
  <c r="D465" i="3"/>
  <c r="E397" i="3"/>
  <c r="D311" i="3"/>
  <c r="B365" i="3"/>
  <c r="B261" i="3"/>
  <c r="B419" i="3"/>
  <c r="B311" i="3"/>
  <c r="D365" i="3"/>
  <c r="E21" i="3"/>
  <c r="B21" i="3"/>
  <c r="E131" i="3"/>
  <c r="D454" i="3"/>
  <c r="B347" i="3"/>
  <c r="D124" i="3"/>
  <c r="D32" i="3"/>
  <c r="B124" i="3"/>
  <c r="D425" i="3"/>
  <c r="B32" i="3"/>
  <c r="B405" i="3"/>
  <c r="D222" i="3"/>
  <c r="B464" i="3"/>
  <c r="B142" i="3"/>
  <c r="E332" i="3"/>
  <c r="B300" i="3"/>
  <c r="D264" i="3"/>
  <c r="B44" i="3"/>
  <c r="E300" i="3"/>
  <c r="E116" i="3"/>
  <c r="E290" i="3"/>
  <c r="E242" i="3"/>
  <c r="B290" i="3"/>
  <c r="B45" i="3"/>
  <c r="B242" i="3"/>
  <c r="B178" i="3"/>
  <c r="D116" i="3"/>
  <c r="D405" i="3"/>
  <c r="B387" i="3"/>
  <c r="B35" i="3"/>
  <c r="D366" i="3"/>
  <c r="E222" i="3"/>
  <c r="B366" i="3"/>
  <c r="D324" i="3"/>
  <c r="E403" i="3"/>
  <c r="B446" i="3"/>
  <c r="B418" i="3"/>
  <c r="B156" i="3"/>
  <c r="E336" i="3"/>
  <c r="D308" i="3"/>
  <c r="E418" i="3"/>
  <c r="D156" i="3"/>
  <c r="D336" i="3"/>
  <c r="D349" i="3"/>
  <c r="E425" i="3"/>
  <c r="D233" i="3"/>
  <c r="D417" i="3"/>
  <c r="B258" i="3"/>
  <c r="E153" i="3"/>
  <c r="E233" i="3"/>
  <c r="D84" i="3"/>
  <c r="B417" i="3"/>
  <c r="D258" i="3"/>
  <c r="B153" i="3"/>
  <c r="B308" i="3"/>
  <c r="B84" i="3"/>
  <c r="D265" i="3"/>
  <c r="E264" i="3"/>
  <c r="E210" i="3"/>
  <c r="D68" i="3"/>
  <c r="D196" i="3"/>
  <c r="D44" i="3"/>
  <c r="B210" i="3"/>
  <c r="D218" i="3"/>
  <c r="E196" i="3"/>
  <c r="B109" i="3"/>
  <c r="D132" i="3"/>
  <c r="B363" i="3"/>
  <c r="B137" i="3"/>
  <c r="E218" i="3"/>
  <c r="B303" i="3"/>
  <c r="B203" i="3"/>
  <c r="B485" i="3"/>
  <c r="D31" i="3"/>
  <c r="D485" i="3"/>
  <c r="E31" i="3"/>
  <c r="D109" i="3"/>
  <c r="D363" i="3"/>
  <c r="E303" i="3"/>
  <c r="E277" i="3"/>
  <c r="B82" i="3"/>
  <c r="D322" i="3"/>
  <c r="D279" i="3"/>
  <c r="E82" i="3"/>
  <c r="E388" i="3"/>
  <c r="D131" i="3"/>
  <c r="D15" i="3"/>
  <c r="E279" i="3"/>
  <c r="B403" i="3"/>
  <c r="D388" i="3"/>
  <c r="B15" i="3"/>
  <c r="E262" i="3"/>
  <c r="B194" i="3"/>
  <c r="B68" i="3"/>
  <c r="B17" i="3"/>
  <c r="B67" i="3"/>
  <c r="B100" i="3"/>
  <c r="D111" i="3"/>
  <c r="E81" i="3"/>
  <c r="E325" i="3"/>
  <c r="D17" i="3"/>
  <c r="D455" i="3"/>
  <c r="E434" i="3"/>
  <c r="D154" i="3"/>
  <c r="B133" i="3"/>
  <c r="E132" i="3"/>
  <c r="E370" i="3"/>
  <c r="B455" i="3"/>
  <c r="B434" i="3"/>
  <c r="B112" i="3"/>
  <c r="E384" i="3"/>
  <c r="B81" i="3"/>
  <c r="B111" i="3"/>
  <c r="B477" i="3"/>
  <c r="D325" i="3"/>
  <c r="D347" i="3"/>
  <c r="D241" i="3"/>
  <c r="E477" i="3"/>
  <c r="D370" i="3"/>
  <c r="E112" i="3"/>
  <c r="D100" i="3"/>
  <c r="E78" i="3"/>
  <c r="E241" i="3"/>
  <c r="E115" i="3"/>
  <c r="E194" i="3"/>
  <c r="D67" i="3"/>
  <c r="B115" i="3"/>
  <c r="D262" i="3"/>
  <c r="B343" i="3"/>
  <c r="E120" i="3"/>
  <c r="E343" i="3"/>
  <c r="D281" i="3"/>
  <c r="D345" i="3"/>
  <c r="D147" i="3"/>
  <c r="B147" i="3"/>
  <c r="B25" i="3"/>
  <c r="E345" i="3"/>
  <c r="D334" i="3"/>
  <c r="D25" i="3"/>
  <c r="E188" i="3"/>
  <c r="B374" i="3"/>
  <c r="D380" i="3"/>
  <c r="B364" i="3"/>
  <c r="D148" i="3"/>
  <c r="E334" i="3"/>
  <c r="B188" i="3"/>
  <c r="D374" i="3"/>
  <c r="E380" i="3"/>
  <c r="E364" i="3"/>
  <c r="E322" i="3"/>
  <c r="E349" i="3"/>
  <c r="D238" i="3"/>
  <c r="B47" i="3"/>
  <c r="B148" i="3"/>
  <c r="B384" i="3"/>
  <c r="E238" i="3"/>
  <c r="D47" i="3"/>
  <c r="D133" i="3"/>
  <c r="D275" i="3"/>
  <c r="D173" i="3"/>
  <c r="E254" i="3"/>
  <c r="D117" i="3"/>
  <c r="D198" i="3"/>
  <c r="B294" i="3"/>
  <c r="B275" i="3"/>
  <c r="B42" i="3"/>
  <c r="D73" i="3"/>
  <c r="D313" i="3"/>
  <c r="D423" i="3"/>
  <c r="E320" i="3"/>
  <c r="B234" i="3"/>
  <c r="D269" i="3"/>
  <c r="E423" i="3"/>
  <c r="B407" i="3"/>
  <c r="B319" i="3"/>
  <c r="B195" i="3"/>
  <c r="B335" i="3"/>
  <c r="B114" i="3"/>
  <c r="B162" i="3"/>
  <c r="B443" i="3"/>
  <c r="B49" i="3"/>
  <c r="E61" i="3"/>
  <c r="E174" i="3"/>
  <c r="B313" i="3"/>
  <c r="B231" i="3"/>
  <c r="B320" i="3"/>
  <c r="E406" i="3"/>
  <c r="B206" i="3"/>
  <c r="E198" i="3"/>
  <c r="B83" i="3"/>
  <c r="D42" i="3"/>
  <c r="B73" i="3"/>
  <c r="B254" i="3"/>
  <c r="B117" i="3"/>
  <c r="B173" i="3"/>
  <c r="B174" i="3"/>
  <c r="E269" i="3"/>
  <c r="E407" i="3"/>
  <c r="D319" i="3"/>
  <c r="D195" i="3"/>
  <c r="E335" i="3"/>
  <c r="D114" i="3"/>
  <c r="D162" i="3"/>
  <c r="E443" i="3"/>
  <c r="D49" i="3"/>
  <c r="B240" i="3"/>
  <c r="E171" i="3"/>
  <c r="B65" i="3"/>
  <c r="B406" i="3"/>
  <c r="D206" i="3"/>
  <c r="B243" i="3"/>
  <c r="D61" i="3"/>
  <c r="D113" i="3"/>
  <c r="D86" i="3"/>
  <c r="E240" i="3"/>
  <c r="B171" i="3"/>
  <c r="D65" i="3"/>
  <c r="B389" i="3"/>
  <c r="D401" i="3"/>
  <c r="D123" i="3"/>
  <c r="D96" i="3"/>
  <c r="B101" i="3"/>
  <c r="D101" i="3"/>
  <c r="D243" i="3"/>
  <c r="D83" i="3"/>
  <c r="E113" i="3"/>
  <c r="D372" i="3"/>
  <c r="B396" i="3"/>
  <c r="D136" i="3"/>
  <c r="B78" i="3"/>
  <c r="E60" i="3"/>
  <c r="B48" i="3"/>
  <c r="B399" i="3"/>
  <c r="D327" i="3"/>
  <c r="E265" i="3"/>
  <c r="B413" i="3"/>
  <c r="E339" i="3"/>
  <c r="B34" i="3"/>
  <c r="D203" i="3"/>
  <c r="E389" i="3"/>
  <c r="B401" i="3"/>
  <c r="E234" i="3"/>
  <c r="E96" i="3"/>
  <c r="D294" i="3"/>
  <c r="B379" i="3"/>
  <c r="D379" i="3"/>
  <c r="E86" i="3"/>
  <c r="E372" i="3"/>
  <c r="E136" i="3"/>
  <c r="B60" i="3"/>
  <c r="D48" i="3"/>
  <c r="D399" i="3"/>
  <c r="B327" i="3"/>
  <c r="D413" i="3"/>
  <c r="D34" i="3"/>
  <c r="D415" i="3"/>
  <c r="D274" i="3"/>
  <c r="B161" i="3"/>
  <c r="B246" i="3"/>
  <c r="B123" i="3"/>
  <c r="E281" i="3"/>
  <c r="E415" i="3"/>
  <c r="E274" i="3"/>
  <c r="D161" i="3"/>
  <c r="D246" i="3"/>
  <c r="D76" i="3"/>
  <c r="D90" i="3"/>
  <c r="E90" i="3"/>
  <c r="B12" i="3"/>
  <c r="E12" i="3"/>
  <c r="B39" i="3"/>
  <c r="D39" i="3"/>
  <c r="E39" i="3"/>
  <c r="B70" i="3"/>
  <c r="E70" i="3"/>
  <c r="E358" i="3"/>
  <c r="B358" i="3"/>
  <c r="F7" i="3"/>
  <c r="B27" i="5" l="1"/>
  <c r="G7" i="3"/>
  <c r="H7" i="3"/>
  <c r="C8" i="3"/>
  <c r="F8" i="3" s="1"/>
  <c r="B28" i="5" l="1"/>
  <c r="H8" i="3"/>
  <c r="G8" i="3"/>
  <c r="C9" i="3"/>
  <c r="F9" i="3" s="1"/>
  <c r="B29" i="5" l="1"/>
  <c r="C10" i="3"/>
  <c r="F10" i="3" s="1"/>
  <c r="H9" i="3"/>
  <c r="G9" i="3"/>
  <c r="B30" i="5" l="1"/>
  <c r="G10" i="3"/>
  <c r="H10" i="3"/>
  <c r="C11" i="3"/>
  <c r="F11" i="3" s="1"/>
  <c r="B31" i="5" l="1"/>
  <c r="C12" i="3"/>
  <c r="F12" i="3" s="1"/>
  <c r="G11" i="3"/>
  <c r="H11" i="3"/>
  <c r="H12" i="3" l="1"/>
  <c r="B32" i="5"/>
  <c r="G12" i="3"/>
  <c r="C13" i="3"/>
  <c r="F13" i="3" s="1"/>
  <c r="B33" i="5" l="1"/>
  <c r="C14" i="3"/>
  <c r="F14" i="3" s="1"/>
  <c r="H13" i="3"/>
  <c r="G13" i="3"/>
  <c r="B34" i="5" l="1"/>
  <c r="H14" i="3"/>
  <c r="G14" i="3"/>
  <c r="C15" i="3"/>
  <c r="F15" i="3" s="1"/>
  <c r="B35" i="5" l="1"/>
  <c r="G15" i="3"/>
  <c r="C16" i="3"/>
  <c r="F16" i="3" s="1"/>
  <c r="H15" i="3"/>
  <c r="B36" i="5" l="1"/>
  <c r="C17" i="3"/>
  <c r="F17" i="3" s="1"/>
  <c r="H16" i="3"/>
  <c r="G16" i="3"/>
  <c r="B37" i="5" l="1"/>
  <c r="G17" i="3"/>
  <c r="H17" i="3"/>
  <c r="C18" i="3"/>
  <c r="F18" i="3" s="1"/>
  <c r="B38" i="5" l="1"/>
  <c r="C19" i="3"/>
  <c r="F19" i="3" s="1"/>
  <c r="H18" i="3"/>
  <c r="G18" i="3"/>
  <c r="B39" i="5" l="1"/>
  <c r="H19" i="3"/>
  <c r="C20" i="3"/>
  <c r="F20" i="3" s="1"/>
  <c r="G19" i="3"/>
  <c r="B40" i="5" l="1"/>
  <c r="C21" i="3"/>
  <c r="F21" i="3" s="1"/>
  <c r="G20" i="3"/>
  <c r="H20" i="3"/>
  <c r="B41" i="5" l="1"/>
  <c r="G21" i="3"/>
  <c r="C22" i="3"/>
  <c r="F22" i="3" s="1"/>
  <c r="H21" i="3"/>
  <c r="B42" i="5" l="1"/>
  <c r="C23" i="3"/>
  <c r="F23" i="3" s="1"/>
  <c r="H22" i="3"/>
  <c r="G22" i="3"/>
  <c r="B43" i="5" l="1"/>
  <c r="H23" i="3"/>
  <c r="C24" i="3"/>
  <c r="F24" i="3" s="1"/>
  <c r="G23" i="3"/>
  <c r="B44" i="5" l="1"/>
  <c r="H24" i="3"/>
  <c r="G24" i="3"/>
  <c r="C25" i="3"/>
  <c r="F25" i="3" s="1"/>
  <c r="B45" i="5" l="1"/>
  <c r="H25" i="3"/>
  <c r="C26" i="3"/>
  <c r="F26" i="3" s="1"/>
  <c r="G25" i="3"/>
  <c r="B46" i="5" l="1"/>
  <c r="G26" i="3"/>
  <c r="H26" i="3"/>
  <c r="C27" i="3"/>
  <c r="F27" i="3" s="1"/>
  <c r="B47" i="5" l="1"/>
  <c r="C28" i="3"/>
  <c r="F28" i="3" s="1"/>
  <c r="H27" i="3"/>
  <c r="G27" i="3"/>
  <c r="B48" i="5" l="1"/>
  <c r="H28" i="3"/>
  <c r="G28" i="3"/>
  <c r="C29" i="3"/>
  <c r="F29" i="3" s="1"/>
  <c r="B49" i="5" l="1"/>
  <c r="C30" i="3"/>
  <c r="F30" i="3" s="1"/>
  <c r="H29" i="3"/>
  <c r="G29" i="3"/>
  <c r="B50" i="5" l="1"/>
  <c r="C31" i="3"/>
  <c r="F31" i="3" s="1"/>
  <c r="G30" i="3"/>
  <c r="H30" i="3"/>
  <c r="G31" i="3" l="1"/>
  <c r="C32" i="3"/>
  <c r="F32" i="3" s="1"/>
  <c r="H31" i="3"/>
  <c r="G32" i="3" l="1"/>
  <c r="C33" i="3"/>
  <c r="F33" i="3" s="1"/>
  <c r="H32" i="3"/>
  <c r="C34" i="3" l="1"/>
  <c r="F34" i="3" s="1"/>
  <c r="H33" i="3"/>
  <c r="G33" i="3"/>
  <c r="C35" i="3" l="1"/>
  <c r="F35" i="3" s="1"/>
  <c r="H34" i="3"/>
  <c r="G34" i="3"/>
  <c r="C36" i="3" l="1"/>
  <c r="F36" i="3" s="1"/>
  <c r="G35" i="3"/>
  <c r="H35" i="3"/>
  <c r="G36" i="3" l="1"/>
  <c r="C37" i="3"/>
  <c r="F37" i="3" s="1"/>
  <c r="H36" i="3"/>
  <c r="H37" i="3" l="1"/>
  <c r="G37" i="3"/>
  <c r="C38" i="3"/>
  <c r="F38" i="3" s="1"/>
  <c r="C39" i="3" l="1"/>
  <c r="F39" i="3" s="1"/>
  <c r="H38" i="3"/>
  <c r="G38" i="3"/>
  <c r="H39" i="3" l="1"/>
  <c r="G39" i="3"/>
  <c r="C40" i="3"/>
  <c r="F40" i="3" s="1"/>
  <c r="C41" i="3" l="1"/>
  <c r="F41" i="3" s="1"/>
  <c r="G40" i="3"/>
  <c r="H40" i="3"/>
  <c r="G41" i="3" l="1"/>
  <c r="C42" i="3"/>
  <c r="F42" i="3" s="1"/>
  <c r="H41" i="3"/>
  <c r="C43" i="3" l="1"/>
  <c r="F43" i="3" s="1"/>
  <c r="H42" i="3"/>
  <c r="G42" i="3"/>
  <c r="H43" i="3" l="1"/>
  <c r="C44" i="3"/>
  <c r="F44" i="3" s="1"/>
  <c r="G43" i="3"/>
  <c r="H44" i="3" l="1"/>
  <c r="C45" i="3"/>
  <c r="F45" i="3" s="1"/>
  <c r="G44" i="3"/>
  <c r="G45" i="3" l="1"/>
  <c r="C46" i="3"/>
  <c r="F46" i="3" s="1"/>
  <c r="H45" i="3"/>
  <c r="C47" i="3" l="1"/>
  <c r="F47" i="3" s="1"/>
  <c r="H46" i="3"/>
  <c r="G46" i="3"/>
  <c r="G47" i="3" l="1"/>
  <c r="H47" i="3"/>
  <c r="C48" i="3"/>
  <c r="F48" i="3" s="1"/>
  <c r="H48" i="3" l="1"/>
  <c r="C49" i="3"/>
  <c r="F49" i="3" s="1"/>
  <c r="G48" i="3"/>
  <c r="H49" i="3" l="1"/>
  <c r="G49" i="3"/>
  <c r="C50" i="3"/>
  <c r="F50" i="3" s="1"/>
  <c r="G50" i="3" l="1"/>
  <c r="H50" i="3"/>
  <c r="C51" i="3"/>
  <c r="F51" i="3" s="1"/>
  <c r="H51" i="3" l="1"/>
  <c r="G51" i="3"/>
  <c r="C52" i="3"/>
  <c r="F52" i="3" s="1"/>
  <c r="H52" i="3" l="1"/>
  <c r="G52" i="3"/>
  <c r="C53" i="3"/>
  <c r="F53" i="3" s="1"/>
  <c r="H53" i="3" l="1"/>
  <c r="C54" i="3"/>
  <c r="F54" i="3" s="1"/>
  <c r="G53" i="3"/>
  <c r="C55" i="3" l="1"/>
  <c r="F55" i="3" s="1"/>
  <c r="H54" i="3"/>
  <c r="G54" i="3"/>
  <c r="H55" i="3" l="1"/>
  <c r="G55" i="3"/>
  <c r="C56" i="3"/>
  <c r="F56" i="3" s="1"/>
  <c r="C57" i="3" l="1"/>
  <c r="F57" i="3" s="1"/>
  <c r="H56" i="3"/>
  <c r="G56" i="3"/>
  <c r="C58" i="3" l="1"/>
  <c r="F58" i="3" s="1"/>
  <c r="G57" i="3"/>
  <c r="H57" i="3"/>
  <c r="H58" i="3" l="1"/>
  <c r="C59" i="3"/>
  <c r="F59" i="3" s="1"/>
  <c r="G58" i="3"/>
  <c r="H59" i="3" l="1"/>
  <c r="G59" i="3"/>
  <c r="C60" i="3"/>
  <c r="F60" i="3" s="1"/>
  <c r="G60" i="3" l="1"/>
  <c r="C61" i="3"/>
  <c r="F61" i="3" s="1"/>
  <c r="H60" i="3"/>
  <c r="C62" i="3" l="1"/>
  <c r="F62" i="3" s="1"/>
  <c r="H61" i="3"/>
  <c r="G61" i="3"/>
  <c r="C63" i="3" l="1"/>
  <c r="F63" i="3" s="1"/>
  <c r="G62" i="3"/>
  <c r="H62" i="3"/>
  <c r="H63" i="3" l="1"/>
  <c r="G63" i="3"/>
  <c r="C64" i="3"/>
  <c r="F64" i="3" s="1"/>
  <c r="C65" i="3" l="1"/>
  <c r="F65" i="3" s="1"/>
  <c r="G64" i="3"/>
  <c r="H64" i="3"/>
  <c r="H65" i="3" l="1"/>
  <c r="G65" i="3"/>
  <c r="C66" i="3"/>
  <c r="F66" i="3" s="1"/>
  <c r="C67" i="3" l="1"/>
  <c r="F67" i="3" s="1"/>
  <c r="G66" i="3"/>
  <c r="H66" i="3"/>
  <c r="H67" i="3" l="1"/>
  <c r="G67" i="3"/>
  <c r="C68" i="3"/>
  <c r="F68" i="3" s="1"/>
  <c r="C69" i="3" l="1"/>
  <c r="F69" i="3" s="1"/>
  <c r="H68" i="3"/>
  <c r="G68" i="3"/>
  <c r="C70" i="3" l="1"/>
  <c r="F70" i="3" s="1"/>
  <c r="H69" i="3"/>
  <c r="G69" i="3"/>
  <c r="G70" i="3" l="1"/>
  <c r="H70" i="3"/>
  <c r="C71" i="3"/>
  <c r="F71" i="3" s="1"/>
  <c r="G71" i="3" l="1"/>
  <c r="C72" i="3"/>
  <c r="F72" i="3" s="1"/>
  <c r="H71" i="3"/>
  <c r="H72" i="3" l="1"/>
  <c r="C73" i="3"/>
  <c r="F73" i="3" s="1"/>
  <c r="G72" i="3"/>
  <c r="C74" i="3" l="1"/>
  <c r="F74" i="3" s="1"/>
  <c r="H73" i="3"/>
  <c r="G73" i="3"/>
  <c r="G74" i="3" l="1"/>
  <c r="C75" i="3"/>
  <c r="F75" i="3" s="1"/>
  <c r="H74" i="3"/>
  <c r="H75" i="3" l="1"/>
  <c r="G75" i="3"/>
  <c r="C76" i="3"/>
  <c r="F76" i="3" s="1"/>
  <c r="H76" i="3" l="1"/>
  <c r="G76" i="3"/>
  <c r="C77" i="3"/>
  <c r="F77" i="3" s="1"/>
  <c r="G77" i="3" l="1"/>
  <c r="C78" i="3"/>
  <c r="F78" i="3" s="1"/>
  <c r="H77" i="3"/>
  <c r="H78" i="3" l="1"/>
  <c r="C79" i="3"/>
  <c r="F79" i="3" s="1"/>
  <c r="G78" i="3"/>
  <c r="C80" i="3" l="1"/>
  <c r="F80" i="3" s="1"/>
  <c r="H79" i="3"/>
  <c r="G79" i="3"/>
  <c r="G80" i="3" l="1"/>
  <c r="H80" i="3"/>
  <c r="C81" i="3"/>
  <c r="F81" i="3" s="1"/>
  <c r="H81" i="3" l="1"/>
  <c r="G81" i="3"/>
  <c r="C82" i="3"/>
  <c r="F82" i="3" s="1"/>
  <c r="G82" i="3" l="1"/>
  <c r="C83" i="3"/>
  <c r="F83" i="3" s="1"/>
  <c r="H82" i="3"/>
  <c r="C84" i="3" l="1"/>
  <c r="F84" i="3" s="1"/>
  <c r="G83" i="3"/>
  <c r="H83" i="3"/>
  <c r="H84" i="3" l="1"/>
  <c r="G84" i="3"/>
  <c r="C85" i="3"/>
  <c r="F85" i="3" s="1"/>
  <c r="G85" i="3" l="1"/>
  <c r="C86" i="3"/>
  <c r="F86" i="3" s="1"/>
  <c r="H85" i="3"/>
  <c r="G86" i="3" l="1"/>
  <c r="H86" i="3"/>
  <c r="C87" i="3"/>
  <c r="F87" i="3" s="1"/>
  <c r="C88" i="3" l="1"/>
  <c r="F88" i="3" s="1"/>
  <c r="H87" i="3"/>
  <c r="G87" i="3"/>
  <c r="H88" i="3" l="1"/>
  <c r="C89" i="3"/>
  <c r="F89" i="3" s="1"/>
  <c r="G88" i="3"/>
  <c r="C90" i="3" l="1"/>
  <c r="F90" i="3" s="1"/>
  <c r="H89" i="3"/>
  <c r="G89" i="3"/>
  <c r="G90" i="3" l="1"/>
  <c r="H90" i="3"/>
  <c r="C91" i="3"/>
  <c r="F91" i="3" s="1"/>
  <c r="G91" i="3" l="1"/>
  <c r="C92" i="3"/>
  <c r="F92" i="3" s="1"/>
  <c r="H91" i="3"/>
  <c r="G92" i="3" l="1"/>
  <c r="H92" i="3"/>
  <c r="C93" i="3"/>
  <c r="F93" i="3" s="1"/>
  <c r="G93" i="3" l="1"/>
  <c r="H93" i="3"/>
  <c r="C94" i="3"/>
  <c r="F94" i="3" s="1"/>
  <c r="H94" i="3" l="1"/>
  <c r="G94" i="3"/>
  <c r="C95" i="3"/>
  <c r="F95" i="3" s="1"/>
  <c r="G95" i="3" l="1"/>
  <c r="H95" i="3"/>
  <c r="C96" i="3"/>
  <c r="F96" i="3" s="1"/>
  <c r="C97" i="3" l="1"/>
  <c r="F97" i="3" s="1"/>
  <c r="G96" i="3"/>
  <c r="H96" i="3"/>
  <c r="C98" i="3" l="1"/>
  <c r="F98" i="3" s="1"/>
  <c r="G97" i="3"/>
  <c r="H97" i="3"/>
  <c r="H98" i="3" l="1"/>
  <c r="C99" i="3"/>
  <c r="F99" i="3" s="1"/>
  <c r="G98" i="3"/>
  <c r="G99" i="3" l="1"/>
  <c r="C100" i="3"/>
  <c r="F100" i="3" s="1"/>
  <c r="H99" i="3"/>
  <c r="C101" i="3" l="1"/>
  <c r="F101" i="3" s="1"/>
  <c r="G100" i="3"/>
  <c r="H100" i="3"/>
  <c r="H101" i="3" l="1"/>
  <c r="G101" i="3"/>
  <c r="C102" i="3"/>
  <c r="F102" i="3" s="1"/>
  <c r="H102" i="3" l="1"/>
  <c r="G102" i="3"/>
  <c r="C103" i="3"/>
  <c r="F103" i="3" s="1"/>
  <c r="H103" i="3" l="1"/>
  <c r="C104" i="3"/>
  <c r="F104" i="3" s="1"/>
  <c r="G103" i="3"/>
  <c r="C105" i="3" l="1"/>
  <c r="F105" i="3" s="1"/>
  <c r="H104" i="3"/>
  <c r="G104" i="3"/>
  <c r="H105" i="3" l="1"/>
  <c r="G105" i="3"/>
  <c r="C106" i="3"/>
  <c r="F106" i="3" s="1"/>
  <c r="H106" i="3" l="1"/>
  <c r="G106" i="3"/>
  <c r="C107" i="3"/>
  <c r="F107" i="3" s="1"/>
  <c r="C108" i="3" l="1"/>
  <c r="F108" i="3" s="1"/>
  <c r="H107" i="3"/>
  <c r="G107" i="3"/>
  <c r="C109" i="3" l="1"/>
  <c r="F109" i="3" s="1"/>
  <c r="H108" i="3"/>
  <c r="G108" i="3"/>
  <c r="G109" i="3" l="1"/>
  <c r="H109" i="3"/>
  <c r="C110" i="3"/>
  <c r="F110" i="3" s="1"/>
  <c r="H110" i="3" l="1"/>
  <c r="G110" i="3"/>
  <c r="C111" i="3"/>
  <c r="F111" i="3" s="1"/>
  <c r="C112" i="3" l="1"/>
  <c r="F112" i="3" s="1"/>
  <c r="G111" i="3"/>
  <c r="H111" i="3"/>
  <c r="G112" i="3" l="1"/>
  <c r="H112" i="3"/>
  <c r="C113" i="3"/>
  <c r="F113" i="3" s="1"/>
  <c r="C114" i="3" l="1"/>
  <c r="F114" i="3" s="1"/>
  <c r="H113" i="3"/>
  <c r="G113" i="3"/>
  <c r="H114" i="3" l="1"/>
  <c r="G114" i="3"/>
  <c r="C115" i="3"/>
  <c r="F115" i="3" s="1"/>
  <c r="G115" i="3" l="1"/>
  <c r="C116" i="3"/>
  <c r="F116" i="3" s="1"/>
  <c r="H115" i="3"/>
  <c r="C117" i="3" l="1"/>
  <c r="F117" i="3" s="1"/>
  <c r="H116" i="3"/>
  <c r="G116" i="3"/>
  <c r="H117" i="3" l="1"/>
  <c r="G117" i="3"/>
  <c r="C118" i="3"/>
  <c r="F118" i="3" s="1"/>
  <c r="H118" i="3" l="1"/>
  <c r="C119" i="3"/>
  <c r="F119" i="3" s="1"/>
  <c r="G118" i="3"/>
  <c r="C120" i="3" l="1"/>
  <c r="F120" i="3" s="1"/>
  <c r="G119" i="3"/>
  <c r="H119" i="3"/>
  <c r="G120" i="3" l="1"/>
  <c r="C121" i="3"/>
  <c r="F121" i="3" s="1"/>
  <c r="H120" i="3"/>
  <c r="H121" i="3" l="1"/>
  <c r="G121" i="3"/>
  <c r="C122" i="3"/>
  <c r="F122" i="3" s="1"/>
  <c r="C123" i="3" l="1"/>
  <c r="F123" i="3" s="1"/>
  <c r="H122" i="3"/>
  <c r="G122" i="3"/>
  <c r="G123" i="3" l="1"/>
  <c r="H123" i="3"/>
  <c r="C124" i="3"/>
  <c r="F124" i="3" s="1"/>
  <c r="G124" i="3" l="1"/>
  <c r="C125" i="3"/>
  <c r="F125" i="3" s="1"/>
  <c r="H124" i="3"/>
  <c r="G125" i="3" l="1"/>
  <c r="C126" i="3"/>
  <c r="F126" i="3" s="1"/>
  <c r="H125" i="3"/>
  <c r="G126" i="3" l="1"/>
  <c r="H126" i="3"/>
  <c r="C127" i="3"/>
  <c r="F127" i="3" s="1"/>
  <c r="C128" i="3" l="1"/>
  <c r="F128" i="3" s="1"/>
  <c r="H127" i="3"/>
  <c r="G127" i="3"/>
  <c r="C129" i="3" l="1"/>
  <c r="F129" i="3" s="1"/>
  <c r="G128" i="3"/>
  <c r="H128" i="3"/>
  <c r="C130" i="3" l="1"/>
  <c r="F130" i="3" s="1"/>
  <c r="G129" i="3"/>
  <c r="H129" i="3"/>
  <c r="C131" i="3" l="1"/>
  <c r="F131" i="3" s="1"/>
  <c r="H130" i="3"/>
  <c r="G130" i="3"/>
  <c r="C132" i="3" l="1"/>
  <c r="F132" i="3" s="1"/>
  <c r="H131" i="3"/>
  <c r="G131" i="3"/>
  <c r="C133" i="3" l="1"/>
  <c r="F133" i="3" s="1"/>
  <c r="H132" i="3"/>
  <c r="G132" i="3"/>
  <c r="H133" i="3" l="1"/>
  <c r="G133" i="3"/>
  <c r="C134" i="3"/>
  <c r="F134" i="3" s="1"/>
  <c r="C135" i="3" l="1"/>
  <c r="F135" i="3" s="1"/>
  <c r="H134" i="3"/>
  <c r="G134" i="3"/>
  <c r="H135" i="3" l="1"/>
  <c r="G135" i="3"/>
  <c r="C136" i="3"/>
  <c r="F136" i="3" s="1"/>
  <c r="C137" i="3" l="1"/>
  <c r="F137" i="3" s="1"/>
  <c r="G136" i="3"/>
  <c r="H136" i="3"/>
  <c r="H137" i="3" l="1"/>
  <c r="G137" i="3"/>
  <c r="C138" i="3"/>
  <c r="F138" i="3" s="1"/>
  <c r="H138" i="3" l="1"/>
  <c r="G138" i="3"/>
  <c r="C139" i="3"/>
  <c r="F139" i="3" s="1"/>
  <c r="G139" i="3" l="1"/>
  <c r="H139" i="3"/>
  <c r="C140" i="3"/>
  <c r="F140" i="3" s="1"/>
  <c r="H140" i="3" l="1"/>
  <c r="G140" i="3"/>
  <c r="C141" i="3"/>
  <c r="F141" i="3" s="1"/>
  <c r="C142" i="3" l="1"/>
  <c r="F142" i="3" s="1"/>
  <c r="H141" i="3"/>
  <c r="G141" i="3"/>
  <c r="C143" i="3" l="1"/>
  <c r="F143" i="3" s="1"/>
  <c r="G142" i="3"/>
  <c r="H142" i="3"/>
  <c r="H143" i="3" l="1"/>
  <c r="G143" i="3"/>
  <c r="C144" i="3"/>
  <c r="F144" i="3" s="1"/>
  <c r="G144" i="3" l="1"/>
  <c r="C145" i="3"/>
  <c r="F145" i="3" s="1"/>
  <c r="H144" i="3"/>
  <c r="H145" i="3" l="1"/>
  <c r="G145" i="3"/>
  <c r="C146" i="3"/>
  <c r="F146" i="3" s="1"/>
  <c r="H146" i="3" l="1"/>
  <c r="G146" i="3"/>
  <c r="C147" i="3"/>
  <c r="F147" i="3" s="1"/>
  <c r="C148" i="3" l="1"/>
  <c r="F148" i="3" s="1"/>
  <c r="G147" i="3"/>
  <c r="H147" i="3"/>
  <c r="G148" i="3" l="1"/>
  <c r="H148" i="3"/>
  <c r="C149" i="3"/>
  <c r="F149" i="3" s="1"/>
  <c r="G149" i="3" l="1"/>
  <c r="H149" i="3"/>
  <c r="C150" i="3"/>
  <c r="F150" i="3" s="1"/>
  <c r="H150" i="3" l="1"/>
  <c r="G150" i="3"/>
  <c r="C151" i="3"/>
  <c r="F151" i="3" s="1"/>
  <c r="H151" i="3" l="1"/>
  <c r="C152" i="3"/>
  <c r="F152" i="3" s="1"/>
  <c r="G151" i="3"/>
  <c r="C153" i="3" l="1"/>
  <c r="F153" i="3" s="1"/>
  <c r="H152" i="3"/>
  <c r="G152" i="3"/>
  <c r="C154" i="3" l="1"/>
  <c r="F154" i="3" s="1"/>
  <c r="G153" i="3"/>
  <c r="H153" i="3"/>
  <c r="H154" i="3" l="1"/>
  <c r="G154" i="3"/>
  <c r="C155" i="3"/>
  <c r="F155" i="3" s="1"/>
  <c r="H155" i="3" l="1"/>
  <c r="G155" i="3"/>
  <c r="C156" i="3"/>
  <c r="F156" i="3" s="1"/>
  <c r="G156" i="3" l="1"/>
  <c r="H156" i="3"/>
  <c r="C157" i="3"/>
  <c r="F157" i="3" s="1"/>
  <c r="C158" i="3" l="1"/>
  <c r="F158" i="3" s="1"/>
  <c r="H157" i="3"/>
  <c r="G157" i="3"/>
  <c r="G158" i="3" l="1"/>
  <c r="H158" i="3"/>
  <c r="C159" i="3"/>
  <c r="F159" i="3" s="1"/>
  <c r="C160" i="3" l="1"/>
  <c r="F160" i="3" s="1"/>
  <c r="H159" i="3"/>
  <c r="G159" i="3"/>
  <c r="G160" i="3" l="1"/>
  <c r="H160" i="3"/>
  <c r="C161" i="3"/>
  <c r="F161" i="3" s="1"/>
  <c r="C162" i="3" l="1"/>
  <c r="F162" i="3" s="1"/>
  <c r="H161" i="3"/>
  <c r="G161" i="3"/>
  <c r="H162" i="3" l="1"/>
  <c r="G162" i="3"/>
  <c r="C163" i="3"/>
  <c r="F163" i="3" s="1"/>
  <c r="H163" i="3" l="1"/>
  <c r="G163" i="3"/>
  <c r="C164" i="3"/>
  <c r="F164" i="3" s="1"/>
  <c r="H164" i="3" l="1"/>
  <c r="G164" i="3"/>
  <c r="C165" i="3"/>
  <c r="F165" i="3" s="1"/>
  <c r="C166" i="3" l="1"/>
  <c r="F166" i="3" s="1"/>
  <c r="H165" i="3"/>
  <c r="G165" i="3"/>
  <c r="G166" i="3" l="1"/>
  <c r="C167" i="3"/>
  <c r="F167" i="3" s="1"/>
  <c r="H166" i="3"/>
  <c r="C168" i="3" l="1"/>
  <c r="F168" i="3" s="1"/>
  <c r="H167" i="3"/>
  <c r="G167" i="3"/>
  <c r="H168" i="3" l="1"/>
  <c r="G168" i="3"/>
  <c r="C169" i="3"/>
  <c r="F169" i="3" s="1"/>
  <c r="C170" i="3" l="1"/>
  <c r="F170" i="3" s="1"/>
  <c r="H169" i="3"/>
  <c r="G169" i="3"/>
  <c r="C171" i="3" l="1"/>
  <c r="F171" i="3" s="1"/>
  <c r="G170" i="3"/>
  <c r="H170" i="3"/>
  <c r="H171" i="3" l="1"/>
  <c r="G171" i="3"/>
  <c r="C172" i="3"/>
  <c r="F172" i="3" s="1"/>
  <c r="H172" i="3" l="1"/>
  <c r="G172" i="3"/>
  <c r="C173" i="3"/>
  <c r="F173" i="3" s="1"/>
  <c r="C174" i="3" l="1"/>
  <c r="F174" i="3" s="1"/>
  <c r="H173" i="3"/>
  <c r="G173" i="3"/>
  <c r="H174" i="3" l="1"/>
  <c r="C175" i="3"/>
  <c r="F175" i="3" s="1"/>
  <c r="G174" i="3"/>
  <c r="H175" i="3" l="1"/>
  <c r="C176" i="3"/>
  <c r="F176" i="3" s="1"/>
  <c r="G175" i="3"/>
  <c r="C177" i="3" l="1"/>
  <c r="F177" i="3" s="1"/>
  <c r="H176" i="3"/>
  <c r="G176" i="3"/>
  <c r="H177" i="3" l="1"/>
  <c r="G177" i="3"/>
  <c r="C178" i="3"/>
  <c r="F178" i="3" s="1"/>
  <c r="G178" i="3" l="1"/>
  <c r="C179" i="3"/>
  <c r="F179" i="3" s="1"/>
  <c r="H178" i="3"/>
  <c r="C180" i="3" l="1"/>
  <c r="F180" i="3" s="1"/>
  <c r="H179" i="3"/>
  <c r="G179" i="3"/>
  <c r="C181" i="3" l="1"/>
  <c r="F181" i="3" s="1"/>
  <c r="H180" i="3"/>
  <c r="G180" i="3"/>
  <c r="C182" i="3" l="1"/>
  <c r="F182" i="3" s="1"/>
  <c r="H181" i="3"/>
  <c r="G181" i="3"/>
  <c r="H182" i="3" l="1"/>
  <c r="G182" i="3"/>
  <c r="C183" i="3"/>
  <c r="F183" i="3" s="1"/>
  <c r="G183" i="3" l="1"/>
  <c r="H183" i="3"/>
  <c r="C184" i="3"/>
  <c r="F184" i="3" s="1"/>
  <c r="C185" i="3" l="1"/>
  <c r="F185" i="3" s="1"/>
  <c r="G184" i="3"/>
  <c r="H184" i="3"/>
  <c r="H185" i="3" l="1"/>
  <c r="G185" i="3"/>
  <c r="C186" i="3"/>
  <c r="F186" i="3" s="1"/>
  <c r="H186" i="3" l="1"/>
  <c r="C187" i="3"/>
  <c r="F187" i="3" s="1"/>
  <c r="G186" i="3"/>
  <c r="H187" i="3" l="1"/>
  <c r="G187" i="3"/>
  <c r="C188" i="3"/>
  <c r="F188" i="3" s="1"/>
  <c r="C189" i="3" l="1"/>
  <c r="F189" i="3" s="1"/>
  <c r="G188" i="3"/>
  <c r="H188" i="3"/>
  <c r="H189" i="3" l="1"/>
  <c r="G189" i="3"/>
  <c r="C190" i="3"/>
  <c r="F190" i="3" s="1"/>
  <c r="H190" i="3" l="1"/>
  <c r="C191" i="3"/>
  <c r="F191" i="3" s="1"/>
  <c r="G190" i="3"/>
  <c r="C192" i="3" l="1"/>
  <c r="F192" i="3" s="1"/>
  <c r="G191" i="3"/>
  <c r="H191" i="3"/>
  <c r="C193" i="3" l="1"/>
  <c r="F193" i="3" s="1"/>
  <c r="H192" i="3"/>
  <c r="G192" i="3"/>
  <c r="H193" i="3" l="1"/>
  <c r="C194" i="3"/>
  <c r="F194" i="3" s="1"/>
  <c r="G193" i="3"/>
  <c r="G194" i="3" l="1"/>
  <c r="H194" i="3"/>
  <c r="C195" i="3"/>
  <c r="F195" i="3" s="1"/>
  <c r="C196" i="3" l="1"/>
  <c r="F196" i="3" s="1"/>
  <c r="G195" i="3"/>
  <c r="H195" i="3"/>
  <c r="C197" i="3" l="1"/>
  <c r="F197" i="3" s="1"/>
  <c r="H196" i="3"/>
  <c r="G196" i="3"/>
  <c r="C198" i="3" l="1"/>
  <c r="F198" i="3" s="1"/>
  <c r="G197" i="3"/>
  <c r="H197" i="3"/>
  <c r="H198" i="3" l="1"/>
  <c r="G198" i="3"/>
  <c r="C199" i="3"/>
  <c r="F199" i="3" s="1"/>
  <c r="H199" i="3" l="1"/>
  <c r="G199" i="3"/>
  <c r="C200" i="3"/>
  <c r="F200" i="3" s="1"/>
  <c r="C201" i="3" l="1"/>
  <c r="F201" i="3" s="1"/>
  <c r="H200" i="3"/>
  <c r="G200" i="3"/>
  <c r="G201" i="3" l="1"/>
  <c r="H201" i="3"/>
  <c r="C202" i="3"/>
  <c r="F202" i="3" s="1"/>
  <c r="H202" i="3" l="1"/>
  <c r="G202" i="3"/>
  <c r="C203" i="3"/>
  <c r="F203" i="3" s="1"/>
  <c r="H203" i="3" l="1"/>
  <c r="G203" i="3"/>
  <c r="C204" i="3"/>
  <c r="F204" i="3" s="1"/>
  <c r="H204" i="3" l="1"/>
  <c r="G204" i="3"/>
  <c r="C205" i="3"/>
  <c r="F205" i="3" s="1"/>
  <c r="G205" i="3" l="1"/>
  <c r="C206" i="3"/>
  <c r="F206" i="3" s="1"/>
  <c r="H205" i="3"/>
  <c r="H206" i="3" l="1"/>
  <c r="G206" i="3"/>
  <c r="C207" i="3"/>
  <c r="F207" i="3" s="1"/>
  <c r="H207" i="3" l="1"/>
  <c r="C208" i="3"/>
  <c r="F208" i="3" s="1"/>
  <c r="G207" i="3"/>
  <c r="C209" i="3" l="1"/>
  <c r="F209" i="3" s="1"/>
  <c r="G208" i="3"/>
  <c r="H208" i="3"/>
  <c r="H209" i="3" l="1"/>
  <c r="G209" i="3"/>
  <c r="C210" i="3"/>
  <c r="F210" i="3" s="1"/>
  <c r="C211" i="3" l="1"/>
  <c r="F211" i="3" s="1"/>
  <c r="H210" i="3"/>
  <c r="G210" i="3"/>
  <c r="H211" i="3" l="1"/>
  <c r="G211" i="3"/>
  <c r="C212" i="3"/>
  <c r="F212" i="3" s="1"/>
  <c r="H212" i="3" l="1"/>
  <c r="G212" i="3"/>
  <c r="C213" i="3"/>
  <c r="F213" i="3" s="1"/>
  <c r="C214" i="3" l="1"/>
  <c r="F214" i="3" s="1"/>
  <c r="H213" i="3"/>
  <c r="G213" i="3"/>
  <c r="H214" i="3" l="1"/>
  <c r="G214" i="3"/>
  <c r="C215" i="3"/>
  <c r="F215" i="3" s="1"/>
  <c r="H215" i="3" l="1"/>
  <c r="G215" i="3"/>
  <c r="C216" i="3"/>
  <c r="F216" i="3" s="1"/>
  <c r="H216" i="3" l="1"/>
  <c r="G216" i="3"/>
  <c r="C217" i="3"/>
  <c r="F217" i="3" s="1"/>
  <c r="C218" i="3" l="1"/>
  <c r="F218" i="3" s="1"/>
  <c r="H217" i="3"/>
  <c r="G217" i="3"/>
  <c r="G218" i="3" l="1"/>
  <c r="C219" i="3"/>
  <c r="F219" i="3" s="1"/>
  <c r="H218" i="3"/>
  <c r="G219" i="3" l="1"/>
  <c r="H219" i="3"/>
  <c r="C220" i="3"/>
  <c r="F220" i="3" s="1"/>
  <c r="H220" i="3" l="1"/>
  <c r="G220" i="3"/>
  <c r="C221" i="3"/>
  <c r="F221" i="3" s="1"/>
  <c r="G221" i="3" l="1"/>
  <c r="H221" i="3"/>
  <c r="C222" i="3"/>
  <c r="F222" i="3" s="1"/>
  <c r="C223" i="3" l="1"/>
  <c r="F223" i="3" s="1"/>
  <c r="H222" i="3"/>
  <c r="G222" i="3"/>
  <c r="H223" i="3" l="1"/>
  <c r="C224" i="3"/>
  <c r="F224" i="3" s="1"/>
  <c r="G223" i="3"/>
  <c r="C225" i="3" l="1"/>
  <c r="F225" i="3" s="1"/>
  <c r="H224" i="3"/>
  <c r="G224" i="3"/>
  <c r="H225" i="3" l="1"/>
  <c r="C226" i="3"/>
  <c r="F226" i="3" s="1"/>
  <c r="G225" i="3"/>
  <c r="C227" i="3" l="1"/>
  <c r="F227" i="3" s="1"/>
  <c r="G226" i="3"/>
  <c r="H226" i="3"/>
  <c r="G227" i="3" l="1"/>
  <c r="H227" i="3"/>
  <c r="C228" i="3"/>
  <c r="F228" i="3" s="1"/>
  <c r="C229" i="3" l="1"/>
  <c r="F229" i="3" s="1"/>
  <c r="H228" i="3"/>
  <c r="G228" i="3"/>
  <c r="C230" i="3" l="1"/>
  <c r="F230" i="3" s="1"/>
  <c r="G229" i="3"/>
  <c r="H229" i="3"/>
  <c r="H230" i="3" l="1"/>
  <c r="C231" i="3"/>
  <c r="F231" i="3" s="1"/>
  <c r="G230" i="3"/>
  <c r="C232" i="3" l="1"/>
  <c r="F232" i="3" s="1"/>
  <c r="G231" i="3"/>
  <c r="H231" i="3"/>
  <c r="H232" i="3" l="1"/>
  <c r="C233" i="3"/>
  <c r="F233" i="3" s="1"/>
  <c r="G232" i="3"/>
  <c r="C234" i="3" l="1"/>
  <c r="F234" i="3" s="1"/>
  <c r="H233" i="3"/>
  <c r="G233" i="3"/>
  <c r="H234" i="3" l="1"/>
  <c r="G234" i="3"/>
  <c r="C235" i="3"/>
  <c r="F235" i="3" s="1"/>
  <c r="H235" i="3" l="1"/>
  <c r="G235" i="3"/>
  <c r="C236" i="3"/>
  <c r="F236" i="3" s="1"/>
  <c r="G236" i="3" l="1"/>
  <c r="H236" i="3"/>
  <c r="C237" i="3"/>
  <c r="F237" i="3" s="1"/>
  <c r="G237" i="3" l="1"/>
  <c r="H237" i="3"/>
  <c r="C238" i="3"/>
  <c r="F238" i="3" s="1"/>
  <c r="H238" i="3" l="1"/>
  <c r="C239" i="3"/>
  <c r="F239" i="3" s="1"/>
  <c r="G238" i="3"/>
  <c r="C240" i="3" l="1"/>
  <c r="F240" i="3" s="1"/>
  <c r="G239" i="3"/>
  <c r="H239" i="3"/>
  <c r="H240" i="3" l="1"/>
  <c r="G240" i="3"/>
  <c r="C241" i="3"/>
  <c r="F241" i="3" s="1"/>
  <c r="C242" i="3" l="1"/>
  <c r="F242" i="3" s="1"/>
  <c r="H241" i="3"/>
  <c r="G241" i="3"/>
  <c r="H242" i="3" l="1"/>
  <c r="C243" i="3"/>
  <c r="F243" i="3" s="1"/>
  <c r="G242" i="3"/>
  <c r="G243" i="3" l="1"/>
  <c r="C244" i="3"/>
  <c r="F244" i="3" s="1"/>
  <c r="H243" i="3"/>
  <c r="G244" i="3" l="1"/>
  <c r="H244" i="3"/>
  <c r="C245" i="3"/>
  <c r="F245" i="3" s="1"/>
  <c r="H245" i="3" l="1"/>
  <c r="G245" i="3"/>
  <c r="C246" i="3"/>
  <c r="F246" i="3" s="1"/>
  <c r="G246" i="3" l="1"/>
  <c r="H246" i="3"/>
  <c r="C247" i="3"/>
  <c r="F247" i="3" s="1"/>
  <c r="C248" i="3" l="1"/>
  <c r="F248" i="3" s="1"/>
  <c r="G247" i="3"/>
  <c r="H247" i="3"/>
  <c r="H248" i="3" l="1"/>
  <c r="G248" i="3"/>
  <c r="C249" i="3"/>
  <c r="F249" i="3" s="1"/>
  <c r="G249" i="3" l="1"/>
  <c r="H249" i="3"/>
  <c r="C250" i="3"/>
  <c r="F250" i="3" s="1"/>
  <c r="C251" i="3" l="1"/>
  <c r="F251" i="3" s="1"/>
  <c r="H250" i="3"/>
  <c r="G250" i="3"/>
  <c r="H251" i="3" l="1"/>
  <c r="G251" i="3"/>
  <c r="C252" i="3"/>
  <c r="F252" i="3" s="1"/>
  <c r="G252" i="3" l="1"/>
  <c r="H252" i="3"/>
  <c r="C253" i="3"/>
  <c r="F253" i="3" s="1"/>
  <c r="C254" i="3" l="1"/>
  <c r="F254" i="3" s="1"/>
  <c r="G253" i="3"/>
  <c r="H253" i="3"/>
  <c r="H254" i="3" l="1"/>
  <c r="G254" i="3"/>
  <c r="C255" i="3"/>
  <c r="F255" i="3" s="1"/>
  <c r="C256" i="3" l="1"/>
  <c r="F256" i="3" s="1"/>
  <c r="H255" i="3"/>
  <c r="G255" i="3"/>
  <c r="C257" i="3" l="1"/>
  <c r="F257" i="3" s="1"/>
  <c r="G256" i="3"/>
  <c r="H256" i="3"/>
  <c r="G257" i="3" l="1"/>
  <c r="C258" i="3"/>
  <c r="F258" i="3" s="1"/>
  <c r="H257" i="3"/>
  <c r="C259" i="3" l="1"/>
  <c r="F259" i="3" s="1"/>
  <c r="H258" i="3"/>
  <c r="G258" i="3"/>
  <c r="G259" i="3" l="1"/>
  <c r="H259" i="3"/>
  <c r="C260" i="3"/>
  <c r="F260" i="3" s="1"/>
  <c r="C261" i="3" l="1"/>
  <c r="F261" i="3" s="1"/>
  <c r="G260" i="3"/>
  <c r="H260" i="3"/>
  <c r="C262" i="3" l="1"/>
  <c r="F262" i="3" s="1"/>
  <c r="H261" i="3"/>
  <c r="G261" i="3"/>
  <c r="H262" i="3" l="1"/>
  <c r="G262" i="3"/>
  <c r="C263" i="3"/>
  <c r="F263" i="3" s="1"/>
  <c r="C264" i="3" l="1"/>
  <c r="F264" i="3" s="1"/>
  <c r="H263" i="3"/>
  <c r="G263" i="3"/>
  <c r="H264" i="3" l="1"/>
  <c r="G264" i="3"/>
  <c r="C265" i="3"/>
  <c r="F265" i="3" s="1"/>
  <c r="H265" i="3" l="1"/>
  <c r="G265" i="3"/>
  <c r="C266" i="3"/>
  <c r="F266" i="3" s="1"/>
  <c r="C267" i="3" l="1"/>
  <c r="F267" i="3" s="1"/>
  <c r="G266" i="3"/>
  <c r="H266" i="3"/>
  <c r="C268" i="3" l="1"/>
  <c r="F268" i="3" s="1"/>
  <c r="H267" i="3"/>
  <c r="G267" i="3"/>
  <c r="H268" i="3" l="1"/>
  <c r="C269" i="3"/>
  <c r="F269" i="3" s="1"/>
  <c r="G268" i="3"/>
  <c r="H269" i="3" l="1"/>
  <c r="G269" i="3"/>
  <c r="C270" i="3"/>
  <c r="F270" i="3" s="1"/>
  <c r="H270" i="3" l="1"/>
  <c r="G270" i="3"/>
  <c r="C271" i="3"/>
  <c r="F271" i="3" s="1"/>
  <c r="G271" i="3" l="1"/>
  <c r="H271" i="3"/>
  <c r="C272" i="3"/>
  <c r="F272" i="3" s="1"/>
  <c r="C273" i="3" l="1"/>
  <c r="F273" i="3" s="1"/>
  <c r="G272" i="3"/>
  <c r="H272" i="3"/>
  <c r="C274" i="3" l="1"/>
  <c r="F274" i="3" s="1"/>
  <c r="H273" i="3"/>
  <c r="G273" i="3"/>
  <c r="H274" i="3" l="1"/>
  <c r="C275" i="3"/>
  <c r="F275" i="3" s="1"/>
  <c r="G274" i="3"/>
  <c r="C276" i="3" l="1"/>
  <c r="F276" i="3" s="1"/>
  <c r="G275" i="3"/>
  <c r="H275" i="3"/>
  <c r="C277" i="3" l="1"/>
  <c r="F277" i="3" s="1"/>
  <c r="G276" i="3"/>
  <c r="H276" i="3"/>
  <c r="C278" i="3" l="1"/>
  <c r="F278" i="3" s="1"/>
  <c r="H277" i="3"/>
  <c r="G277" i="3"/>
  <c r="G278" i="3" l="1"/>
  <c r="C279" i="3"/>
  <c r="F279" i="3" s="1"/>
  <c r="H278" i="3"/>
  <c r="H279" i="3" l="1"/>
  <c r="G279" i="3"/>
  <c r="C280" i="3"/>
  <c r="F280" i="3" s="1"/>
  <c r="H280" i="3" l="1"/>
  <c r="G280" i="3"/>
  <c r="C281" i="3"/>
  <c r="F281" i="3" s="1"/>
  <c r="G281" i="3" l="1"/>
  <c r="H281" i="3"/>
  <c r="C282" i="3"/>
  <c r="F282" i="3" s="1"/>
  <c r="C283" i="3" l="1"/>
  <c r="F283" i="3" s="1"/>
  <c r="G282" i="3"/>
  <c r="H282" i="3"/>
  <c r="H283" i="3" l="1"/>
  <c r="C284" i="3"/>
  <c r="F284" i="3" s="1"/>
  <c r="G283" i="3"/>
  <c r="G284" i="3" l="1"/>
  <c r="C285" i="3"/>
  <c r="F285" i="3" s="1"/>
  <c r="H284" i="3"/>
  <c r="H285" i="3" l="1"/>
  <c r="C286" i="3"/>
  <c r="F286" i="3" s="1"/>
  <c r="G285" i="3"/>
  <c r="G286" i="3" l="1"/>
  <c r="H286" i="3"/>
  <c r="C287" i="3"/>
  <c r="F287" i="3" s="1"/>
  <c r="H287" i="3" l="1"/>
  <c r="G287" i="3"/>
  <c r="C288" i="3"/>
  <c r="F288" i="3" s="1"/>
  <c r="C289" i="3" l="1"/>
  <c r="F289" i="3" s="1"/>
  <c r="H288" i="3"/>
  <c r="G288" i="3"/>
  <c r="H289" i="3" l="1"/>
  <c r="G289" i="3"/>
  <c r="C290" i="3"/>
  <c r="F290" i="3" s="1"/>
  <c r="G290" i="3" l="1"/>
  <c r="H290" i="3"/>
  <c r="C291" i="3"/>
  <c r="F291" i="3" s="1"/>
  <c r="G291" i="3" l="1"/>
  <c r="C292" i="3"/>
  <c r="F292" i="3" s="1"/>
  <c r="H291" i="3"/>
  <c r="C293" i="3" l="1"/>
  <c r="F293" i="3" s="1"/>
  <c r="G292" i="3"/>
  <c r="H292" i="3"/>
  <c r="C294" i="3" l="1"/>
  <c r="F294" i="3" s="1"/>
  <c r="G293" i="3"/>
  <c r="H293" i="3"/>
  <c r="G294" i="3" l="1"/>
  <c r="H294" i="3"/>
  <c r="C295" i="3"/>
  <c r="F295" i="3" s="1"/>
  <c r="C296" i="3" l="1"/>
  <c r="F296" i="3" s="1"/>
  <c r="H295" i="3"/>
  <c r="G295" i="3"/>
  <c r="C297" i="3" l="1"/>
  <c r="F297" i="3" s="1"/>
  <c r="H296" i="3"/>
  <c r="G296" i="3"/>
  <c r="G297" i="3" l="1"/>
  <c r="C298" i="3"/>
  <c r="F298" i="3" s="1"/>
  <c r="H297" i="3"/>
  <c r="C299" i="3" l="1"/>
  <c r="F299" i="3" s="1"/>
  <c r="G298" i="3"/>
  <c r="H298" i="3"/>
  <c r="H299" i="3" l="1"/>
  <c r="G299" i="3"/>
  <c r="C300" i="3"/>
  <c r="F300" i="3" s="1"/>
  <c r="C301" i="3" l="1"/>
  <c r="F301" i="3" s="1"/>
  <c r="G300" i="3"/>
  <c r="H300" i="3"/>
  <c r="G301" i="3" l="1"/>
  <c r="H301" i="3"/>
  <c r="C302" i="3"/>
  <c r="F302" i="3" s="1"/>
  <c r="C303" i="3" l="1"/>
  <c r="F303" i="3" s="1"/>
  <c r="G302" i="3"/>
  <c r="H302" i="3"/>
  <c r="C304" i="3" l="1"/>
  <c r="F304" i="3" s="1"/>
  <c r="H303" i="3"/>
  <c r="G303" i="3"/>
  <c r="C305" i="3" l="1"/>
  <c r="F305" i="3" s="1"/>
  <c r="H304" i="3"/>
  <c r="G304" i="3"/>
  <c r="G305" i="3" l="1"/>
  <c r="C306" i="3"/>
  <c r="F306" i="3" s="1"/>
  <c r="H305" i="3"/>
  <c r="H306" i="3" l="1"/>
  <c r="G306" i="3"/>
  <c r="C307" i="3"/>
  <c r="F307" i="3" s="1"/>
  <c r="H307" i="3" l="1"/>
  <c r="G307" i="3"/>
  <c r="C308" i="3"/>
  <c r="F308" i="3" s="1"/>
  <c r="H308" i="3" l="1"/>
  <c r="G308" i="3"/>
  <c r="C309" i="3"/>
  <c r="F309" i="3" s="1"/>
  <c r="C310" i="3" l="1"/>
  <c r="F310" i="3" s="1"/>
  <c r="H309" i="3"/>
  <c r="G309" i="3"/>
  <c r="C311" i="3" l="1"/>
  <c r="F311" i="3" s="1"/>
  <c r="H310" i="3"/>
  <c r="G310" i="3"/>
  <c r="G311" i="3" l="1"/>
  <c r="C312" i="3"/>
  <c r="F312" i="3" s="1"/>
  <c r="H311" i="3"/>
  <c r="G312" i="3" l="1"/>
  <c r="H312" i="3"/>
  <c r="C313" i="3"/>
  <c r="F313" i="3" s="1"/>
  <c r="C314" i="3" l="1"/>
  <c r="F314" i="3" s="1"/>
  <c r="H313" i="3"/>
  <c r="G313" i="3"/>
  <c r="G314" i="3" l="1"/>
  <c r="H314" i="3"/>
  <c r="C315" i="3"/>
  <c r="F315" i="3" s="1"/>
  <c r="H315" i="3" l="1"/>
  <c r="G315" i="3"/>
  <c r="C316" i="3"/>
  <c r="F316" i="3" s="1"/>
  <c r="C317" i="3" l="1"/>
  <c r="F317" i="3" s="1"/>
  <c r="H316" i="3"/>
  <c r="G316" i="3"/>
  <c r="C318" i="3" l="1"/>
  <c r="F318" i="3" s="1"/>
  <c r="G317" i="3"/>
  <c r="H317" i="3"/>
  <c r="C319" i="3" l="1"/>
  <c r="F319" i="3" s="1"/>
  <c r="H318" i="3"/>
  <c r="G318" i="3"/>
  <c r="G319" i="3" l="1"/>
  <c r="H319" i="3"/>
  <c r="C320" i="3"/>
  <c r="F320" i="3" s="1"/>
  <c r="H320" i="3" l="1"/>
  <c r="G320" i="3"/>
  <c r="C321" i="3"/>
  <c r="F321" i="3" s="1"/>
  <c r="C322" i="3" l="1"/>
  <c r="F322" i="3" s="1"/>
  <c r="G321" i="3"/>
  <c r="H321" i="3"/>
  <c r="G322" i="3" l="1"/>
  <c r="C323" i="3"/>
  <c r="F323" i="3" s="1"/>
  <c r="H322" i="3"/>
  <c r="H323" i="3" l="1"/>
  <c r="G323" i="3"/>
  <c r="C324" i="3"/>
  <c r="F324" i="3" s="1"/>
  <c r="C325" i="3" l="1"/>
  <c r="F325" i="3" s="1"/>
  <c r="H324" i="3"/>
  <c r="G324" i="3"/>
  <c r="C326" i="3" l="1"/>
  <c r="F326" i="3" s="1"/>
  <c r="G325" i="3"/>
  <c r="H325" i="3"/>
  <c r="G326" i="3" l="1"/>
  <c r="H326" i="3"/>
  <c r="C327" i="3"/>
  <c r="F327" i="3" s="1"/>
  <c r="G327" i="3" l="1"/>
  <c r="C328" i="3"/>
  <c r="F328" i="3" s="1"/>
  <c r="H327" i="3"/>
  <c r="H328" i="3" l="1"/>
  <c r="G328" i="3"/>
  <c r="C329" i="3"/>
  <c r="F329" i="3" s="1"/>
  <c r="H329" i="3" l="1"/>
  <c r="C330" i="3"/>
  <c r="F330" i="3" s="1"/>
  <c r="G329" i="3"/>
  <c r="H330" i="3" l="1"/>
  <c r="G330" i="3"/>
  <c r="C331" i="3"/>
  <c r="F331" i="3" s="1"/>
  <c r="H331" i="3" l="1"/>
  <c r="G331" i="3"/>
  <c r="C332" i="3"/>
  <c r="F332" i="3" s="1"/>
  <c r="C333" i="3" l="1"/>
  <c r="F333" i="3" s="1"/>
  <c r="H332" i="3"/>
  <c r="G332" i="3"/>
  <c r="H333" i="3" l="1"/>
  <c r="G333" i="3"/>
  <c r="C334" i="3"/>
  <c r="F334" i="3" s="1"/>
  <c r="C335" i="3" l="1"/>
  <c r="F335" i="3" s="1"/>
  <c r="H334" i="3"/>
  <c r="G334" i="3"/>
  <c r="C336" i="3" l="1"/>
  <c r="F336" i="3" s="1"/>
  <c r="G335" i="3"/>
  <c r="H335" i="3"/>
  <c r="H336" i="3" l="1"/>
  <c r="G336" i="3"/>
  <c r="C337" i="3"/>
  <c r="F337" i="3" s="1"/>
  <c r="G337" i="3" l="1"/>
  <c r="C338" i="3"/>
  <c r="F338" i="3" s="1"/>
  <c r="H337" i="3"/>
  <c r="C339" i="3" l="1"/>
  <c r="F339" i="3" s="1"/>
  <c r="G338" i="3"/>
  <c r="H338" i="3"/>
  <c r="H339" i="3" l="1"/>
  <c r="G339" i="3"/>
  <c r="C340" i="3"/>
  <c r="F340" i="3" s="1"/>
  <c r="C341" i="3" l="1"/>
  <c r="F341" i="3" s="1"/>
  <c r="G340" i="3"/>
  <c r="H340" i="3"/>
  <c r="H341" i="3" l="1"/>
  <c r="G341" i="3"/>
  <c r="C342" i="3"/>
  <c r="F342" i="3" s="1"/>
  <c r="C343" i="3" l="1"/>
  <c r="F343" i="3" s="1"/>
  <c r="G342" i="3"/>
  <c r="H342" i="3"/>
  <c r="H343" i="3" l="1"/>
  <c r="G343" i="3"/>
  <c r="C344" i="3"/>
  <c r="F344" i="3" s="1"/>
  <c r="H344" i="3" l="1"/>
  <c r="G344" i="3"/>
  <c r="C345" i="3"/>
  <c r="F345" i="3" s="1"/>
  <c r="H345" i="3" l="1"/>
  <c r="G345" i="3"/>
  <c r="C346" i="3"/>
  <c r="F346" i="3" s="1"/>
  <c r="H346" i="3" l="1"/>
  <c r="G346" i="3"/>
  <c r="C347" i="3"/>
  <c r="F347" i="3" s="1"/>
  <c r="C348" i="3" l="1"/>
  <c r="F348" i="3" s="1"/>
  <c r="G347" i="3"/>
  <c r="H347" i="3"/>
  <c r="C349" i="3" l="1"/>
  <c r="F349" i="3" s="1"/>
  <c r="H348" i="3"/>
  <c r="G348" i="3"/>
  <c r="H349" i="3" l="1"/>
  <c r="C350" i="3"/>
  <c r="F350" i="3" s="1"/>
  <c r="G349" i="3"/>
  <c r="H350" i="3" l="1"/>
  <c r="G350" i="3"/>
  <c r="C351" i="3"/>
  <c r="F351" i="3" s="1"/>
  <c r="C352" i="3" l="1"/>
  <c r="F352" i="3" s="1"/>
  <c r="G351" i="3"/>
  <c r="H351" i="3"/>
  <c r="C353" i="3" l="1"/>
  <c r="F353" i="3" s="1"/>
  <c r="H352" i="3"/>
  <c r="G352" i="3"/>
  <c r="H353" i="3" l="1"/>
  <c r="G353" i="3"/>
  <c r="C354" i="3"/>
  <c r="F354" i="3" s="1"/>
  <c r="H354" i="3" l="1"/>
  <c r="C355" i="3"/>
  <c r="F355" i="3" s="1"/>
  <c r="G354" i="3"/>
  <c r="G355" i="3" l="1"/>
  <c r="H355" i="3"/>
  <c r="C356" i="3"/>
  <c r="F356" i="3" s="1"/>
  <c r="C357" i="3" l="1"/>
  <c r="F357" i="3" s="1"/>
  <c r="G356" i="3"/>
  <c r="H356" i="3"/>
  <c r="C358" i="3" l="1"/>
  <c r="F358" i="3" s="1"/>
  <c r="G357" i="3"/>
  <c r="H357" i="3"/>
  <c r="H358" i="3" l="1"/>
  <c r="G358" i="3"/>
  <c r="C359" i="3"/>
  <c r="F359" i="3" s="1"/>
  <c r="C360" i="3" l="1"/>
  <c r="F360" i="3" s="1"/>
  <c r="H359" i="3"/>
  <c r="G359" i="3"/>
  <c r="H360" i="3" l="1"/>
  <c r="C361" i="3"/>
  <c r="F361" i="3" s="1"/>
  <c r="G360" i="3"/>
  <c r="C362" i="3" l="1"/>
  <c r="F362" i="3" s="1"/>
  <c r="H361" i="3"/>
  <c r="G361" i="3"/>
  <c r="G362" i="3" l="1"/>
  <c r="H362" i="3"/>
  <c r="C363" i="3"/>
  <c r="F363" i="3" s="1"/>
  <c r="H363" i="3" l="1"/>
  <c r="G363" i="3"/>
  <c r="C364" i="3"/>
  <c r="F364" i="3" s="1"/>
  <c r="C365" i="3" l="1"/>
  <c r="F365" i="3" s="1"/>
  <c r="G364" i="3"/>
  <c r="H364" i="3"/>
  <c r="H365" i="3" l="1"/>
  <c r="C366" i="3"/>
  <c r="F366" i="3" s="1"/>
  <c r="G365" i="3"/>
  <c r="H366" i="3" l="1"/>
  <c r="C367" i="3"/>
  <c r="F367" i="3" s="1"/>
  <c r="G366" i="3"/>
  <c r="G367" i="3" l="1"/>
  <c r="H367" i="3"/>
  <c r="C368" i="3"/>
  <c r="F368" i="3" s="1"/>
  <c r="C369" i="3" l="1"/>
  <c r="F369" i="3" s="1"/>
  <c r="H368" i="3"/>
  <c r="G368" i="3"/>
  <c r="C370" i="3" l="1"/>
  <c r="F370" i="3" s="1"/>
  <c r="H369" i="3"/>
  <c r="G369" i="3"/>
  <c r="G370" i="3" l="1"/>
  <c r="H370" i="3"/>
  <c r="C371" i="3"/>
  <c r="F371" i="3" s="1"/>
  <c r="G371" i="3" l="1"/>
  <c r="H371" i="3"/>
  <c r="C372" i="3"/>
  <c r="F372" i="3" s="1"/>
  <c r="C373" i="3" l="1"/>
  <c r="F373" i="3" s="1"/>
  <c r="G372" i="3"/>
  <c r="H372" i="3"/>
  <c r="G373" i="3" l="1"/>
  <c r="H373" i="3"/>
  <c r="C374" i="3"/>
  <c r="F374" i="3" s="1"/>
  <c r="C375" i="3" l="1"/>
  <c r="F375" i="3" s="1"/>
  <c r="H374" i="3"/>
  <c r="G374" i="3"/>
  <c r="H375" i="3" l="1"/>
  <c r="G375" i="3"/>
  <c r="C376" i="3"/>
  <c r="F376" i="3" s="1"/>
  <c r="C377" i="3" l="1"/>
  <c r="F377" i="3" s="1"/>
  <c r="H376" i="3"/>
  <c r="G376" i="3"/>
  <c r="H377" i="3" l="1"/>
  <c r="G377" i="3"/>
  <c r="C378" i="3"/>
  <c r="F378" i="3" s="1"/>
  <c r="C379" i="3" l="1"/>
  <c r="F379" i="3" s="1"/>
  <c r="H378" i="3"/>
  <c r="G378" i="3"/>
  <c r="H379" i="3" l="1"/>
  <c r="C380" i="3"/>
  <c r="F380" i="3" s="1"/>
  <c r="G379" i="3"/>
  <c r="C381" i="3" l="1"/>
  <c r="F381" i="3" s="1"/>
  <c r="G380" i="3"/>
  <c r="H380" i="3"/>
  <c r="G381" i="3" l="1"/>
  <c r="H381" i="3"/>
  <c r="C382" i="3"/>
  <c r="F382" i="3" s="1"/>
  <c r="H382" i="3" l="1"/>
  <c r="G382" i="3"/>
  <c r="C383" i="3"/>
  <c r="F383" i="3" s="1"/>
  <c r="G383" i="3" l="1"/>
  <c r="C384" i="3"/>
  <c r="F384" i="3" s="1"/>
  <c r="H383" i="3"/>
  <c r="C385" i="3" l="1"/>
  <c r="F385" i="3" s="1"/>
  <c r="H384" i="3"/>
  <c r="G384" i="3"/>
  <c r="C386" i="3" l="1"/>
  <c r="F386" i="3" s="1"/>
  <c r="G385" i="3"/>
  <c r="H385" i="3"/>
  <c r="H386" i="3" l="1"/>
  <c r="G386" i="3"/>
  <c r="C387" i="3"/>
  <c r="F387" i="3" s="1"/>
  <c r="H387" i="3" l="1"/>
  <c r="G387" i="3"/>
  <c r="C388" i="3"/>
  <c r="F388" i="3" s="1"/>
  <c r="C389" i="3" l="1"/>
  <c r="F389" i="3" s="1"/>
  <c r="G388" i="3"/>
  <c r="H388" i="3"/>
  <c r="C390" i="3" l="1"/>
  <c r="F390" i="3" s="1"/>
  <c r="H389" i="3"/>
  <c r="G389" i="3"/>
  <c r="H390" i="3" l="1"/>
  <c r="G390" i="3"/>
  <c r="C391" i="3"/>
  <c r="F391" i="3" s="1"/>
  <c r="H391" i="3" l="1"/>
  <c r="C392" i="3"/>
  <c r="F392" i="3" s="1"/>
  <c r="G391" i="3"/>
  <c r="C393" i="3" l="1"/>
  <c r="F393" i="3" s="1"/>
  <c r="H392" i="3"/>
  <c r="G392" i="3"/>
  <c r="H393" i="3" l="1"/>
  <c r="C394" i="3"/>
  <c r="F394" i="3" s="1"/>
  <c r="G393" i="3"/>
  <c r="G394" i="3" l="1"/>
  <c r="H394" i="3"/>
  <c r="C395" i="3"/>
  <c r="F395" i="3" s="1"/>
  <c r="G395" i="3" l="1"/>
  <c r="H395" i="3"/>
  <c r="C396" i="3"/>
  <c r="F396" i="3" s="1"/>
  <c r="C397" i="3" l="1"/>
  <c r="F397" i="3" s="1"/>
  <c r="G396" i="3"/>
  <c r="H396" i="3"/>
  <c r="G397" i="3" l="1"/>
  <c r="H397" i="3"/>
  <c r="C398" i="3"/>
  <c r="F398" i="3" s="1"/>
  <c r="C399" i="3" l="1"/>
  <c r="F399" i="3" s="1"/>
  <c r="H398" i="3"/>
  <c r="G398" i="3"/>
  <c r="C400" i="3" l="1"/>
  <c r="F400" i="3" s="1"/>
  <c r="G399" i="3"/>
  <c r="H399" i="3"/>
  <c r="H400" i="3" l="1"/>
  <c r="C401" i="3"/>
  <c r="F401" i="3" s="1"/>
  <c r="G400" i="3"/>
  <c r="C402" i="3" l="1"/>
  <c r="F402" i="3" s="1"/>
  <c r="G401" i="3"/>
  <c r="H401" i="3"/>
  <c r="C403" i="3" l="1"/>
  <c r="F403" i="3" s="1"/>
  <c r="H402" i="3"/>
  <c r="G402" i="3"/>
  <c r="H403" i="3" l="1"/>
  <c r="G403" i="3"/>
  <c r="C404" i="3"/>
  <c r="F404" i="3" s="1"/>
  <c r="C405" i="3" l="1"/>
  <c r="F405" i="3" s="1"/>
  <c r="G404" i="3"/>
  <c r="H404" i="3"/>
  <c r="C406" i="3" l="1"/>
  <c r="F406" i="3" s="1"/>
  <c r="H405" i="3"/>
  <c r="G405" i="3"/>
  <c r="C407" i="3" l="1"/>
  <c r="F407" i="3" s="1"/>
  <c r="H406" i="3"/>
  <c r="G406" i="3"/>
  <c r="G407" i="3" l="1"/>
  <c r="H407" i="3"/>
  <c r="C408" i="3"/>
  <c r="F408" i="3" s="1"/>
  <c r="H408" i="3" l="1"/>
  <c r="G408" i="3"/>
  <c r="C409" i="3"/>
  <c r="F409" i="3" s="1"/>
  <c r="H409" i="3" l="1"/>
  <c r="G409" i="3"/>
  <c r="C410" i="3"/>
  <c r="F410" i="3" s="1"/>
  <c r="H410" i="3" l="1"/>
  <c r="G410" i="3"/>
  <c r="C411" i="3"/>
  <c r="F411" i="3" s="1"/>
  <c r="H411" i="3" l="1"/>
  <c r="G411" i="3"/>
  <c r="C412" i="3"/>
  <c r="F412" i="3" s="1"/>
  <c r="G412" i="3" l="1"/>
  <c r="C413" i="3"/>
  <c r="F413" i="3" s="1"/>
  <c r="H412" i="3"/>
  <c r="C414" i="3" l="1"/>
  <c r="F414" i="3" s="1"/>
  <c r="G413" i="3"/>
  <c r="H413" i="3"/>
  <c r="H414" i="3" l="1"/>
  <c r="C415" i="3"/>
  <c r="F415" i="3" s="1"/>
  <c r="G414" i="3"/>
  <c r="G415" i="3" l="1"/>
  <c r="H415" i="3"/>
  <c r="C416" i="3"/>
  <c r="F416" i="3" s="1"/>
  <c r="H416" i="3" l="1"/>
  <c r="G416" i="3"/>
  <c r="C417" i="3"/>
  <c r="F417" i="3" s="1"/>
  <c r="H417" i="3" l="1"/>
  <c r="G417" i="3"/>
  <c r="C418" i="3"/>
  <c r="F418" i="3" s="1"/>
  <c r="H418" i="3" l="1"/>
  <c r="C419" i="3"/>
  <c r="F419" i="3" s="1"/>
  <c r="G418" i="3"/>
  <c r="G419" i="3" l="1"/>
  <c r="C420" i="3"/>
  <c r="F420" i="3" s="1"/>
  <c r="H419" i="3"/>
  <c r="G420" i="3" l="1"/>
  <c r="C421" i="3"/>
  <c r="F421" i="3" s="1"/>
  <c r="H420" i="3"/>
  <c r="C422" i="3" l="1"/>
  <c r="F422" i="3" s="1"/>
  <c r="H421" i="3"/>
  <c r="G421" i="3"/>
  <c r="G422" i="3" l="1"/>
  <c r="H422" i="3"/>
  <c r="C423" i="3"/>
  <c r="F423" i="3" s="1"/>
  <c r="C424" i="3" l="1"/>
  <c r="F424" i="3" s="1"/>
  <c r="G423" i="3"/>
  <c r="H423" i="3"/>
  <c r="C425" i="3" l="1"/>
  <c r="F425" i="3" s="1"/>
  <c r="H424" i="3"/>
  <c r="G424" i="3"/>
  <c r="G425" i="3" l="1"/>
  <c r="C426" i="3"/>
  <c r="F426" i="3" s="1"/>
  <c r="H425" i="3"/>
  <c r="C427" i="3" l="1"/>
  <c r="F427" i="3" s="1"/>
  <c r="H426" i="3"/>
  <c r="G426" i="3"/>
  <c r="C428" i="3" l="1"/>
  <c r="F428" i="3" s="1"/>
  <c r="G427" i="3"/>
  <c r="H427" i="3"/>
  <c r="H428" i="3" l="1"/>
  <c r="G428" i="3"/>
  <c r="C429" i="3"/>
  <c r="F429" i="3" s="1"/>
  <c r="G429" i="3" l="1"/>
  <c r="C430" i="3"/>
  <c r="F430" i="3" s="1"/>
  <c r="H429" i="3"/>
  <c r="H430" i="3" l="1"/>
  <c r="C431" i="3"/>
  <c r="F431" i="3" s="1"/>
  <c r="G430" i="3"/>
  <c r="C432" i="3" l="1"/>
  <c r="F432" i="3" s="1"/>
  <c r="G431" i="3"/>
  <c r="H431" i="3"/>
  <c r="C433" i="3" l="1"/>
  <c r="F433" i="3" s="1"/>
  <c r="H432" i="3"/>
  <c r="G432" i="3"/>
  <c r="G433" i="3" l="1"/>
  <c r="C434" i="3"/>
  <c r="F434" i="3" s="1"/>
  <c r="H433" i="3"/>
  <c r="H434" i="3" l="1"/>
  <c r="C435" i="3"/>
  <c r="F435" i="3" s="1"/>
  <c r="G434" i="3"/>
  <c r="H435" i="3" l="1"/>
  <c r="G435" i="3"/>
  <c r="C436" i="3"/>
  <c r="F436" i="3" s="1"/>
  <c r="G436" i="3" l="1"/>
  <c r="H436" i="3"/>
  <c r="C437" i="3"/>
  <c r="F437" i="3" s="1"/>
  <c r="G437" i="3" l="1"/>
  <c r="H437" i="3"/>
  <c r="C438" i="3"/>
  <c r="F438" i="3" s="1"/>
  <c r="G438" i="3" l="1"/>
  <c r="H438" i="3"/>
  <c r="C439" i="3"/>
  <c r="F439" i="3" s="1"/>
  <c r="C440" i="3" l="1"/>
  <c r="F440" i="3" s="1"/>
  <c r="G439" i="3"/>
  <c r="H439" i="3"/>
  <c r="H440" i="3" l="1"/>
  <c r="G440" i="3"/>
  <c r="C441" i="3"/>
  <c r="F441" i="3" s="1"/>
  <c r="H441" i="3" l="1"/>
  <c r="G441" i="3"/>
  <c r="C442" i="3"/>
  <c r="F442" i="3" s="1"/>
  <c r="H442" i="3" l="1"/>
  <c r="G442" i="3"/>
  <c r="C443" i="3"/>
  <c r="F443" i="3" s="1"/>
  <c r="C444" i="3" l="1"/>
  <c r="F444" i="3" s="1"/>
  <c r="G443" i="3"/>
  <c r="H443" i="3"/>
  <c r="C445" i="3" l="1"/>
  <c r="F445" i="3" s="1"/>
  <c r="G444" i="3"/>
  <c r="H444" i="3"/>
  <c r="C446" i="3" l="1"/>
  <c r="F446" i="3" s="1"/>
  <c r="H445" i="3"/>
  <c r="G445" i="3"/>
  <c r="H446" i="3" l="1"/>
  <c r="G446" i="3"/>
  <c r="C447" i="3"/>
  <c r="F447" i="3" s="1"/>
  <c r="G447" i="3" l="1"/>
  <c r="C448" i="3"/>
  <c r="F448" i="3" s="1"/>
  <c r="H447" i="3"/>
  <c r="C449" i="3" l="1"/>
  <c r="F449" i="3" s="1"/>
  <c r="G448" i="3"/>
  <c r="H448" i="3"/>
  <c r="H449" i="3" l="1"/>
  <c r="G449" i="3"/>
  <c r="C450" i="3"/>
  <c r="F450" i="3" s="1"/>
  <c r="H450" i="3" l="1"/>
  <c r="G450" i="3"/>
  <c r="C451" i="3"/>
  <c r="F451" i="3" s="1"/>
  <c r="H451" i="3" l="1"/>
  <c r="G451" i="3"/>
  <c r="C452" i="3"/>
  <c r="F452" i="3" s="1"/>
  <c r="C453" i="3" l="1"/>
  <c r="F453" i="3" s="1"/>
  <c r="G452" i="3"/>
  <c r="H452" i="3"/>
  <c r="H453" i="3" l="1"/>
  <c r="G453" i="3"/>
  <c r="C454" i="3"/>
  <c r="F454" i="3" s="1"/>
  <c r="G454" i="3" l="1"/>
  <c r="C455" i="3"/>
  <c r="F455" i="3" s="1"/>
  <c r="H454" i="3"/>
  <c r="G455" i="3" l="1"/>
  <c r="C456" i="3"/>
  <c r="F456" i="3" s="1"/>
  <c r="H455" i="3"/>
  <c r="H456" i="3" l="1"/>
  <c r="C457" i="3"/>
  <c r="F457" i="3" s="1"/>
  <c r="G456" i="3"/>
  <c r="C458" i="3" l="1"/>
  <c r="F458" i="3" s="1"/>
  <c r="H457" i="3"/>
  <c r="G457" i="3"/>
  <c r="H458" i="3" l="1"/>
  <c r="G458" i="3"/>
  <c r="C459" i="3"/>
  <c r="F459" i="3" s="1"/>
  <c r="C460" i="3" l="1"/>
  <c r="F460" i="3" s="1"/>
  <c r="G459" i="3"/>
  <c r="H459" i="3"/>
  <c r="H460" i="3" l="1"/>
  <c r="G460" i="3"/>
  <c r="C461" i="3"/>
  <c r="F461" i="3" s="1"/>
  <c r="C462" i="3" l="1"/>
  <c r="F462" i="3" s="1"/>
  <c r="G461" i="3"/>
  <c r="H461" i="3"/>
  <c r="G462" i="3" l="1"/>
  <c r="H462" i="3"/>
  <c r="C463" i="3"/>
  <c r="F463" i="3" s="1"/>
  <c r="C464" i="3" l="1"/>
  <c r="F464" i="3" s="1"/>
  <c r="G463" i="3"/>
  <c r="H463" i="3"/>
  <c r="H464" i="3" l="1"/>
  <c r="C465" i="3"/>
  <c r="F465" i="3" s="1"/>
  <c r="G464" i="3"/>
  <c r="C466" i="3" l="1"/>
  <c r="F466" i="3" s="1"/>
  <c r="H465" i="3"/>
  <c r="G465" i="3"/>
  <c r="H466" i="3" l="1"/>
  <c r="C467" i="3"/>
  <c r="F467" i="3" s="1"/>
  <c r="G466" i="3"/>
  <c r="H467" i="3" l="1"/>
  <c r="C468" i="3"/>
  <c r="F468" i="3" s="1"/>
  <c r="G467" i="3"/>
  <c r="G468" i="3" l="1"/>
  <c r="H468" i="3"/>
  <c r="C469" i="3"/>
  <c r="F469" i="3" s="1"/>
  <c r="H469" i="3" l="1"/>
  <c r="G469" i="3"/>
  <c r="C470" i="3"/>
  <c r="F470" i="3" s="1"/>
  <c r="C471" i="3" l="1"/>
  <c r="F471" i="3" s="1"/>
  <c r="G470" i="3"/>
  <c r="H470" i="3"/>
  <c r="H471" i="3" l="1"/>
  <c r="C472" i="3"/>
  <c r="F472" i="3" s="1"/>
  <c r="G471" i="3"/>
  <c r="G472" i="3" l="1"/>
  <c r="C473" i="3"/>
  <c r="F473" i="3" s="1"/>
  <c r="H472" i="3"/>
  <c r="H473" i="3" l="1"/>
  <c r="G473" i="3"/>
  <c r="C474" i="3"/>
  <c r="F474" i="3" s="1"/>
  <c r="G474" i="3" l="1"/>
  <c r="C475" i="3"/>
  <c r="F475" i="3" s="1"/>
  <c r="H474" i="3"/>
  <c r="G475" i="3" l="1"/>
  <c r="H475" i="3"/>
  <c r="C476" i="3"/>
  <c r="F476" i="3" s="1"/>
  <c r="H476" i="3" l="1"/>
  <c r="G476" i="3"/>
  <c r="C477" i="3"/>
  <c r="F477" i="3" s="1"/>
  <c r="C478" i="3" l="1"/>
  <c r="F478" i="3" s="1"/>
  <c r="H477" i="3"/>
  <c r="G477" i="3"/>
  <c r="C479" i="3" l="1"/>
  <c r="F479" i="3" s="1"/>
  <c r="G478" i="3"/>
  <c r="H478" i="3"/>
  <c r="G479" i="3" l="1"/>
  <c r="C480" i="3"/>
  <c r="F480" i="3" s="1"/>
  <c r="H479" i="3"/>
  <c r="G480" i="3" l="1"/>
  <c r="H480" i="3"/>
  <c r="C481" i="3"/>
  <c r="F481" i="3" s="1"/>
  <c r="C482" i="3" l="1"/>
  <c r="F482" i="3" s="1"/>
  <c r="H481" i="3"/>
  <c r="G481" i="3"/>
  <c r="C483" i="3" l="1"/>
  <c r="F483" i="3" s="1"/>
  <c r="H482" i="3"/>
  <c r="G482" i="3"/>
  <c r="H483" i="3" l="1"/>
  <c r="G483" i="3"/>
  <c r="C484" i="3"/>
  <c r="F484" i="3" s="1"/>
  <c r="H484" i="3" l="1"/>
  <c r="C485" i="3"/>
  <c r="F485" i="3" s="1"/>
  <c r="G484" i="3"/>
  <c r="H485" i="3" l="1"/>
  <c r="G485" i="3"/>
  <c r="C486" i="3"/>
  <c r="F486" i="3" s="1"/>
  <c r="B13" i="1" s="1"/>
  <c r="B14" i="1" s="1"/>
  <c r="H486" i="3" l="1"/>
  <c r="B10" i="1" s="1"/>
  <c r="B11" i="1" s="1"/>
  <c r="G486" i="3"/>
</calcChain>
</file>

<file path=xl/sharedStrings.xml><?xml version="1.0" encoding="utf-8"?>
<sst xmlns="http://schemas.openxmlformats.org/spreadsheetml/2006/main" count="61" uniqueCount="58">
  <si>
    <t>Deposit Savings Tracker</t>
  </si>
  <si>
    <t>Deposit target</t>
  </si>
  <si>
    <t>Current progress</t>
  </si>
  <si>
    <t>Remaining deposit gap</t>
  </si>
  <si>
    <t>Estimated months remaining</t>
  </si>
  <si>
    <t>Estimated target date</t>
  </si>
  <si>
    <t>Monthly savings required</t>
  </si>
  <si>
    <t>Projected savings at target</t>
  </si>
  <si>
    <t>Surplus / (shortfall)</t>
  </si>
  <si>
    <t>Current progress/gap exclude future one-offs. Contributions are assigned by calendar month. No target date means deadline outputs are unavailable, not zero. Estimated target searches up to 480 months.</t>
  </si>
  <si>
    <t>Calcy. Version 1.0.1. Reviewed 17 October 2026. General information, not personal financial advice. No macros, connections, personal data or tracking.</t>
  </si>
  <si>
    <t>Savings Inputs</t>
  </si>
  <si>
    <t>Property price</t>
  </si>
  <si>
    <t>Deposit only; duty and other costs are separate.</t>
  </si>
  <si>
    <t>Percentage &gt;0% to 100%. Not lender eligibility.</t>
  </si>
  <si>
    <t>Current savings</t>
  </si>
  <si>
    <t>Available now, before future contributions.</t>
  </si>
  <si>
    <t>Monthly savings</t>
  </si>
  <si>
    <t>Constant month-end contribution; no investment return.</t>
  </si>
  <si>
    <t>One-off contribution</t>
  </si>
  <si>
    <t>Optional: zero means none.</t>
  </si>
  <si>
    <t>Planning start date</t>
  </si>
  <si>
    <t>Editable fixed date.</t>
  </si>
  <si>
    <t>Target purchase date</t>
  </si>
  <si>
    <t>Optional. Future calendar month, within 480 months; or blank.</t>
  </si>
  <si>
    <t>One-off contribution date</t>
  </si>
  <si>
    <t>Required only for a positive one-off, on/after start.</t>
  </si>
  <si>
    <t>Inputs valid</t>
  </si>
  <si>
    <t>Target months (optional)</t>
  </si>
  <si>
    <t>One-off model month</t>
  </si>
  <si>
    <t>Monthly Savings Tracker</t>
  </si>
  <si>
    <t>Month</t>
  </si>
  <si>
    <t>Month end</t>
  </si>
  <si>
    <t>Opening savings</t>
  </si>
  <si>
    <t>Regular savings</t>
  </si>
  <si>
    <t>Dated one-off</t>
  </si>
  <si>
    <t>Closing savings</t>
  </si>
  <si>
    <t>Progress</t>
  </si>
  <si>
    <t>Target reached</t>
  </si>
  <si>
    <t>Milestones</t>
  </si>
  <si>
    <t>Milestone</t>
  </si>
  <si>
    <t>Target %</t>
  </si>
  <si>
    <t>Target amount</t>
  </si>
  <si>
    <t>Current gap</t>
  </si>
  <si>
    <t>5% deposit</t>
  </si>
  <si>
    <t>10% deposit</t>
  </si>
  <si>
    <t>20% deposit</t>
  </si>
  <si>
    <t>Custom target</t>
  </si>
  <si>
    <t>These savings milestones do NOT imply lender approval, LMI exemption, scheme eligibility or a sufficient settlement budget.</t>
  </si>
  <si>
    <t>Charts</t>
  </si>
  <si>
    <t>Projected savings</t>
  </si>
  <si>
    <t>Instructions</t>
  </si>
  <si>
    <t>Edit green inputs. The target date may be blank. A past/current-month target is invalid; choose a future month or clear it. Positive one-offs require a date on/after start and within 480 months. A same-start-month one-off is immediately available for projection.</t>
  </si>
  <si>
    <t>Monthly savings arrive at month end. Dates use calendar-month differences, not daily cash flows. No interest, inflation, tax or property growth is assumed. The chart shows months 0–24; the tracker supports 480 months.</t>
  </si>
  <si>
    <t>Target = property price × deposit %. Current gap = MAX(0,target-current savings). Required monthly savings subtracts any one-off due by the target month, then divides by months available. Milestones are not approval or grant tests.</t>
  </si>
  <si>
    <t>Plan duty, legal fees, inspections and buffers separately with the First Home Buyer Budget Planner. No deadline means no deadline-based required contribution. Dates are estimates, not contractual deadlines.</t>
  </si>
  <si>
    <t>Green inputs remain editable; formula protection is not encryption. Save a personal copy. Loan bounds: 0–$100 million, 0–30% constant rate, 1–40 whole years. These model bounds do not establish lending eligibility.</t>
  </si>
  <si>
    <t>Methodology: https://calcy.com.au/methodology. Corrections: https://calcy.com.au/contact. General context: https://moneysmart.gov.au/home-loans. Examples are illustrative, not live offers.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</si>
</sst>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;\(&quot;$&quot;#,##0.00\);&quot;$&quot;0.00"/>
    <numFmt numFmtId="165" formatCode="0.0%"/>
    <numFmt numFmtId="166" formatCode="d\ mmm\ yyyy"/>
  </numFmts>
  <fonts count="10">
    <font>
      <sz val="11"/>
      <name val="Carlito"/>
    </font>
    <font>
      <sz val="10"/>
      <color rgb="FF17201B"/>
      <name val="Arial"/>
      <family val="2"/>
    </font>
    <font>
      <b/>
      <sz val="14"/>
      <color rgb="FFFFFFFF"/>
      <name val="Arial"/>
      <family val="2"/>
    </font>
    <font>
      <b/>
      <sz val="10"/>
      <color rgb="FF2D6A4F"/>
      <name val="Arial"/>
      <family val="2"/>
    </font>
    <font>
      <b/>
      <sz val="10"/>
      <color rgb="FFFFFFFF"/>
      <name val="Arial"/>
      <family val="2"/>
    </font>
    <font>
      <sz val="12"/>
      <color rgb="FF17201B"/>
      <name val="Arial"/>
      <family val="2"/>
    </font>
    <font>
      <b/>
      <sz val="16"/>
      <color rgb="FFFFFFFF"/>
      <name val="Arial"/>
      <family val="2"/>
    </font>
    <font>
      <sz val="11"/>
      <color rgb="FF17201B"/>
      <name val="Arial"/>
      <family val="2"/>
    </font>
    <font>
      <b/>
      <sz val="14"/>
      <color rgb="FF2D6A4F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6A4F"/>
      </patternFill>
    </fill>
    <fill>
      <patternFill patternType="solid">
        <fgColor rgb="FFEA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164" fontId="1" fillId="0" borderId="0" xfId="0" applyNumberFormat="1" applyFont="1" applyFill="1" applyBorder="1" applyAlignment="1">
      <alignment vertical="center"/>
    </xf>
    <xf numFmtId="9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 applyProtection="1">
      <alignment vertical="center"/>
      <protection locked="0"/>
    </xf>
    <xf numFmtId="165" fontId="3" fillId="3" borderId="0" xfId="0" applyNumberFormat="1" applyFont="1" applyFill="1" applyBorder="1" applyAlignment="1" applyProtection="1">
      <alignment vertical="center"/>
      <protection locked="0"/>
    </xf>
    <xf numFmtId="166" fontId="3" fillId="3" borderId="0" xfId="0" applyNumberFormat="1" applyFont="1" applyFill="1" applyBorder="1" applyAlignment="1" applyProtection="1">
      <alignment vertical="center"/>
      <protection locked="0"/>
    </xf>
    <xf numFmtId="0" fontId="9" fillId="0" borderId="0" xfId="0" applyFont="1"/>
    <xf numFmtId="166" fontId="9" fillId="0" borderId="0" xfId="0" applyNumberFormat="1" applyFont="1" applyFill="1" applyBorder="1"/>
    <xf numFmtId="164" fontId="9" fillId="0" borderId="0" xfId="0" applyNumberFormat="1" applyFont="1" applyFill="1" applyBorder="1"/>
    <xf numFmtId="165" fontId="9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First 24 months of deposit savings (AUD)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Projected savings</c:v>
          </c:tx>
          <c:spPr>
            <a:ln w="19050">
              <a:solidFill>
                <a:srgbClr val="2D6A4F"/>
              </a:solidFill>
            </a:ln>
          </c:spPr>
          <c:marker>
            <c:symbol val="none"/>
          </c:marker>
          <c:cat>
            <c:numRef>
              <c:f>Charts!$A$26:$A$50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Charts!$B$26:$B$50</c:f>
              <c:numCache>
                <c:formatCode>General</c:formatCode>
                <c:ptCount val="25"/>
                <c:pt idx="0">
                  <c:v>45000</c:v>
                </c:pt>
                <c:pt idx="1">
                  <c:v>48000</c:v>
                </c:pt>
                <c:pt idx="2">
                  <c:v>51000</c:v>
                </c:pt>
                <c:pt idx="3">
                  <c:v>59000</c:v>
                </c:pt>
                <c:pt idx="4">
                  <c:v>62000</c:v>
                </c:pt>
                <c:pt idx="5">
                  <c:v>65000</c:v>
                </c:pt>
                <c:pt idx="6">
                  <c:v>68000</c:v>
                </c:pt>
                <c:pt idx="7">
                  <c:v>71000</c:v>
                </c:pt>
                <c:pt idx="8">
                  <c:v>74000</c:v>
                </c:pt>
                <c:pt idx="9">
                  <c:v>77000</c:v>
                </c:pt>
                <c:pt idx="10">
                  <c:v>80000</c:v>
                </c:pt>
                <c:pt idx="11">
                  <c:v>83000</c:v>
                </c:pt>
                <c:pt idx="12">
                  <c:v>86000</c:v>
                </c:pt>
                <c:pt idx="13">
                  <c:v>89000</c:v>
                </c:pt>
                <c:pt idx="14">
                  <c:v>92000</c:v>
                </c:pt>
                <c:pt idx="15">
                  <c:v>95000</c:v>
                </c:pt>
                <c:pt idx="16">
                  <c:v>98000</c:v>
                </c:pt>
                <c:pt idx="17">
                  <c:v>101000</c:v>
                </c:pt>
                <c:pt idx="18">
                  <c:v>104000</c:v>
                </c:pt>
                <c:pt idx="19">
                  <c:v>107000</c:v>
                </c:pt>
                <c:pt idx="20">
                  <c:v>110000</c:v>
                </c:pt>
                <c:pt idx="21">
                  <c:v>113000</c:v>
                </c:pt>
                <c:pt idx="22">
                  <c:v>116000</c:v>
                </c:pt>
                <c:pt idx="23">
                  <c:v>119000</c:v>
                </c:pt>
                <c:pt idx="24">
                  <c:v>122000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07-453F-98D7-8F90A5FF3FA2}"/>
            </c:ext>
          </c:extLst>
        </c:ser>
        <c:ser>
          <c:idx val="1"/>
          <c:order val="1"/>
          <c:tx>
            <c:v>Deposit target</c:v>
          </c:tx>
          <c:spPr>
            <a:ln w="19050">
              <a:solidFill>
                <a:srgbClr val="AC915B"/>
              </a:solidFill>
            </a:ln>
          </c:spPr>
          <c:marker>
            <c:symbol val="none"/>
          </c:marker>
          <c:cat>
            <c:numRef>
              <c:f>Charts!$A$26:$A$50</c:f>
              <c:numCache>
                <c:formatCode>General</c:formatCode>
                <c:ptCount val="2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</c:numCache>
            </c:numRef>
          </c:cat>
          <c:val>
            <c:numRef>
              <c:f>Charts!$C$26:$C$50</c:f>
              <c:numCache>
                <c:formatCode>General</c:formatCode>
                <c:ptCount val="25"/>
                <c:pt idx="0">
                  <c:v>150000</c:v>
                </c:pt>
                <c:pt idx="1">
                  <c:v>150000</c:v>
                </c:pt>
                <c:pt idx="2">
                  <c:v>150000</c:v>
                </c:pt>
                <c:pt idx="3">
                  <c:v>150000</c:v>
                </c:pt>
                <c:pt idx="4">
                  <c:v>150000</c:v>
                </c:pt>
                <c:pt idx="5">
                  <c:v>150000</c:v>
                </c:pt>
                <c:pt idx="6">
                  <c:v>150000</c:v>
                </c:pt>
                <c:pt idx="7">
                  <c:v>150000</c:v>
                </c:pt>
                <c:pt idx="8">
                  <c:v>150000</c:v>
                </c:pt>
                <c:pt idx="9">
                  <c:v>150000</c:v>
                </c:pt>
                <c:pt idx="10">
                  <c:v>150000</c:v>
                </c:pt>
                <c:pt idx="11">
                  <c:v>150000</c:v>
                </c:pt>
                <c:pt idx="12">
                  <c:v>150000</c:v>
                </c:pt>
                <c:pt idx="13">
                  <c:v>150000</c:v>
                </c:pt>
                <c:pt idx="14">
                  <c:v>150000</c:v>
                </c:pt>
                <c:pt idx="15">
                  <c:v>150000</c:v>
                </c:pt>
                <c:pt idx="16">
                  <c:v>150000</c:v>
                </c:pt>
                <c:pt idx="17">
                  <c:v>150000</c:v>
                </c:pt>
                <c:pt idx="18">
                  <c:v>150000</c:v>
                </c:pt>
                <c:pt idx="19">
                  <c:v>150000</c:v>
                </c:pt>
                <c:pt idx="20">
                  <c:v>150000</c:v>
                </c:pt>
                <c:pt idx="21">
                  <c:v>150000</c:v>
                </c:pt>
                <c:pt idx="22">
                  <c:v>150000</c:v>
                </c:pt>
                <c:pt idx="23">
                  <c:v>150000</c:v>
                </c:pt>
                <c:pt idx="2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07-453F-98D7-8F90A5FF3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t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D6A4F"/>
    <pageSetUpPr fitToPage="1"/>
  </sheetPr>
  <dimension ref="A1:H70"/>
  <sheetViews>
    <sheetView showGridLines="0" tabSelected="1" zoomScaleNormal="100" workbookViewId="0">
      <selection sqref="A1:H2"/>
    </sheetView>
  </sheetViews>
  <sheetFormatPr defaultRowHeight="14.15"/>
  <cols>
    <col min="1" max="1" width="41" customWidth="1"/>
    <col min="2" max="2" width="28" customWidth="1"/>
    <col min="3" max="8" width="17" customWidth="1"/>
  </cols>
  <sheetData>
    <row r="1" spans="1:8" ht="18" customHeight="1">
      <c r="A1" s="21" t="s">
        <v>0</v>
      </c>
      <c r="B1" s="21"/>
      <c r="C1" s="21"/>
      <c r="D1" s="21"/>
      <c r="E1" s="21"/>
      <c r="F1" s="21"/>
      <c r="G1" s="21"/>
      <c r="H1" s="21"/>
    </row>
    <row r="2" spans="1:8" ht="18" customHeight="1">
      <c r="A2" s="21"/>
      <c r="B2" s="21"/>
      <c r="C2" s="21"/>
      <c r="D2" s="21"/>
      <c r="E2" s="21"/>
      <c r="F2" s="21"/>
      <c r="G2" s="21"/>
      <c r="H2" s="21"/>
    </row>
    <row r="3" spans="1:8" ht="14.05" customHeight="1">
      <c r="A3" s="5"/>
      <c r="B3" s="5"/>
      <c r="C3" s="5"/>
      <c r="D3" s="5"/>
      <c r="E3" s="5"/>
      <c r="F3" s="5"/>
      <c r="G3" s="5"/>
      <c r="H3" s="5"/>
    </row>
    <row r="4" spans="1:8" ht="14.05" customHeight="1">
      <c r="A4" s="23" t="str">
        <f>IF('Savings Inputs'!$B$14,"Illustrative estimate in AUD. Edit green inputs.","Check required inputs, dates and supported bounds; outputs unavailable.")</f>
        <v>Illustrative estimate in AUD. Edit green inputs.</v>
      </c>
      <c r="B4" s="23"/>
      <c r="C4" s="23"/>
      <c r="D4" s="23"/>
      <c r="E4" s="23"/>
      <c r="F4" s="23"/>
      <c r="G4" s="23"/>
      <c r="H4" s="23"/>
    </row>
    <row r="5" spans="1:8" ht="14.05" customHeight="1">
      <c r="A5" s="23"/>
      <c r="B5" s="23"/>
      <c r="C5" s="23"/>
      <c r="D5" s="23"/>
      <c r="E5" s="23"/>
      <c r="F5" s="23"/>
      <c r="G5" s="23"/>
      <c r="H5" s="23"/>
    </row>
    <row r="6" spans="1:8" ht="14.05" customHeight="1">
      <c r="A6" s="5"/>
      <c r="B6" s="5"/>
      <c r="C6" s="5"/>
      <c r="D6" s="5"/>
      <c r="E6" s="5"/>
      <c r="F6" s="5"/>
      <c r="G6" s="5"/>
      <c r="H6" s="5"/>
    </row>
    <row r="7" spans="1:8" ht="20.05" customHeight="1">
      <c r="A7" s="5" t="s">
        <v>1</v>
      </c>
      <c r="B7" s="7">
        <f>IF('Savings Inputs'!$B$14,'Savings Inputs'!B5*'Savings Inputs'!B6,"")</f>
        <v>150000</v>
      </c>
      <c r="C7" s="5"/>
      <c r="D7" s="5"/>
      <c r="E7" s="5"/>
      <c r="F7" s="5"/>
      <c r="G7" s="5"/>
      <c r="H7" s="5"/>
    </row>
    <row r="8" spans="1:8" ht="20.05" customHeight="1">
      <c r="A8" s="5" t="s">
        <v>2</v>
      </c>
      <c r="B8" s="8">
        <f>IF('Savings Inputs'!$B$14,'Savings Inputs'!B7/B7,"")</f>
        <v>0.3</v>
      </c>
      <c r="C8" s="5"/>
      <c r="D8" s="5"/>
      <c r="E8" s="5"/>
      <c r="F8" s="5"/>
      <c r="G8" s="5"/>
      <c r="H8" s="5"/>
    </row>
    <row r="9" spans="1:8" ht="20.05" customHeight="1">
      <c r="A9" s="5" t="s">
        <v>3</v>
      </c>
      <c r="B9" s="7">
        <f>IF('Savings Inputs'!$B$14,MAX(0,B7-'Savings Inputs'!B7),"")</f>
        <v>105000</v>
      </c>
      <c r="C9" s="5"/>
      <c r="D9" s="5"/>
      <c r="E9" s="5"/>
      <c r="F9" s="5"/>
      <c r="G9" s="5"/>
      <c r="H9" s="5"/>
    </row>
    <row r="10" spans="1:8" ht="20.05" customHeight="1">
      <c r="A10" s="5" t="s">
        <v>4</v>
      </c>
      <c r="B10" s="9">
        <f>IF('Savings Inputs'!$B$14,IF(B9=0,0,IF(AND('Savings Inputs'!B16=0,'Savings Inputs'!B7+'Savings Inputs'!B9&gt;=B7),0,IFERROR(MATCH(1,'Monthly Savings Tracker'!H7:H486,0),"Beyond 480 months"))),"")</f>
        <v>34</v>
      </c>
      <c r="C10" s="5"/>
      <c r="D10" s="5"/>
      <c r="E10" s="5"/>
      <c r="F10" s="5"/>
      <c r="G10" s="5"/>
      <c r="H10" s="5"/>
    </row>
    <row r="11" spans="1:8" ht="20.05" customHeight="1">
      <c r="A11" s="5" t="s">
        <v>5</v>
      </c>
      <c r="B11" s="10">
        <f>IF('Savings Inputs'!$B$14,IF(ISNUMBER(B10),IF(B10=0,'Savings Inputs'!B10,INDEX('Monthly Savings Tracker'!B7:B486,B10)),"Beyond 480 months"),"")</f>
        <v>47361</v>
      </c>
      <c r="C11" s="5"/>
      <c r="D11" s="5"/>
      <c r="E11" s="5"/>
      <c r="F11" s="5"/>
      <c r="G11" s="5"/>
      <c r="H11" s="5"/>
    </row>
    <row r="12" spans="1:8" ht="20.05" customHeight="1">
      <c r="A12" s="5" t="s">
        <v>6</v>
      </c>
      <c r="B12" s="7">
        <f>IF('Savings Inputs'!$B$14,IF('Savings Inputs'!B11="","No target date",MAX(0,B9-IF('Savings Inputs'!B16&lt;='Savings Inputs'!B15,'Savings Inputs'!B9,0))/'Savings Inputs'!B15),"")</f>
        <v>4166.666666666667</v>
      </c>
      <c r="C12" s="5"/>
      <c r="D12" s="5"/>
      <c r="E12" s="5"/>
      <c r="F12" s="5"/>
      <c r="G12" s="5"/>
      <c r="H12" s="5"/>
    </row>
    <row r="13" spans="1:8" ht="20.05" customHeight="1">
      <c r="A13" s="5" t="s">
        <v>7</v>
      </c>
      <c r="B13" s="7">
        <f>IF('Savings Inputs'!$B$14,IF('Savings Inputs'!B11="","No target date",INDEX('Monthly Savings Tracker'!F7:F486,'Savings Inputs'!B15)),"")</f>
        <v>122000</v>
      </c>
      <c r="C13" s="5"/>
      <c r="D13" s="5"/>
      <c r="E13" s="5"/>
      <c r="F13" s="5"/>
      <c r="G13" s="5"/>
      <c r="H13" s="5"/>
    </row>
    <row r="14" spans="1:8" ht="20.05" customHeight="1">
      <c r="A14" s="5" t="s">
        <v>8</v>
      </c>
      <c r="B14" s="7">
        <f>IF('Savings Inputs'!$B$14,IF(ISNUMBER(B13),B13-B7,"No target date"),"")</f>
        <v>-28000</v>
      </c>
      <c r="C14" s="5"/>
      <c r="D14" s="5"/>
      <c r="E14" s="5"/>
      <c r="F14" s="5"/>
      <c r="G14" s="5"/>
      <c r="H14" s="5"/>
    </row>
    <row r="15" spans="1:8" ht="20.05" customHeight="1">
      <c r="A15" s="5"/>
      <c r="B15" s="11"/>
      <c r="C15" s="5"/>
      <c r="D15" s="5"/>
      <c r="E15" s="5"/>
      <c r="F15" s="5"/>
      <c r="G15" s="5"/>
      <c r="H15" s="5"/>
    </row>
    <row r="16" spans="1:8" ht="20.05" customHeight="1">
      <c r="A16" s="5"/>
      <c r="B16" s="11"/>
      <c r="C16" s="5"/>
      <c r="D16" s="5"/>
      <c r="E16" s="5"/>
      <c r="F16" s="5"/>
      <c r="G16" s="5"/>
      <c r="H16" s="5"/>
    </row>
    <row r="17" spans="1:8" ht="20.05" customHeight="1">
      <c r="A17" s="6"/>
      <c r="B17" s="11"/>
      <c r="C17" s="6"/>
      <c r="D17" s="6"/>
      <c r="E17" s="6"/>
      <c r="F17" s="6"/>
      <c r="G17" s="6"/>
      <c r="H17" s="6"/>
    </row>
    <row r="18" spans="1:8" ht="20.05" customHeight="1">
      <c r="A18" s="6"/>
      <c r="B18" s="11"/>
      <c r="C18" s="6"/>
      <c r="D18" s="6"/>
      <c r="E18" s="6"/>
      <c r="F18" s="6"/>
      <c r="G18" s="6"/>
      <c r="H18" s="6"/>
    </row>
    <row r="19" spans="1:8" ht="14.05" customHeight="1">
      <c r="A19" s="6"/>
      <c r="B19" s="6"/>
      <c r="C19" s="6"/>
      <c r="D19" s="6"/>
      <c r="E19" s="6"/>
      <c r="F19" s="6"/>
      <c r="G19" s="6"/>
      <c r="H19" s="6"/>
    </row>
    <row r="20" spans="1:8" ht="14.05" customHeight="1">
      <c r="A20" s="5"/>
      <c r="B20" s="5"/>
      <c r="C20" s="5"/>
      <c r="D20" s="5"/>
      <c r="E20" s="5"/>
      <c r="F20" s="5"/>
      <c r="G20" s="5"/>
      <c r="H20" s="5"/>
    </row>
    <row r="21" spans="1:8" ht="14.05" customHeight="1">
      <c r="A21" s="5"/>
      <c r="B21" s="5"/>
      <c r="C21" s="5"/>
      <c r="D21" s="5"/>
      <c r="E21" s="5"/>
      <c r="F21" s="5"/>
      <c r="G21" s="5"/>
      <c r="H21" s="5"/>
    </row>
    <row r="22" spans="1:8" ht="14.05" customHeight="1">
      <c r="A22" s="5"/>
      <c r="B22" s="5"/>
      <c r="C22" s="5"/>
      <c r="D22" s="5"/>
      <c r="E22" s="5"/>
      <c r="F22" s="5"/>
      <c r="G22" s="5"/>
      <c r="H22" s="5"/>
    </row>
    <row r="23" spans="1:8" ht="14.05" customHeight="1">
      <c r="A23" s="22" t="s">
        <v>9</v>
      </c>
      <c r="B23" s="22"/>
      <c r="C23" s="22"/>
      <c r="D23" s="22"/>
      <c r="E23" s="22"/>
      <c r="F23" s="22"/>
      <c r="G23" s="22"/>
      <c r="H23" s="22"/>
    </row>
    <row r="24" spans="1:8" ht="14.05" customHeight="1">
      <c r="A24" s="22"/>
      <c r="B24" s="22"/>
      <c r="C24" s="22"/>
      <c r="D24" s="22"/>
      <c r="E24" s="22"/>
      <c r="F24" s="22"/>
      <c r="G24" s="22"/>
      <c r="H24" s="22"/>
    </row>
    <row r="25" spans="1:8" ht="14.05" customHeight="1">
      <c r="A25" s="22"/>
      <c r="B25" s="22"/>
      <c r="C25" s="22"/>
      <c r="D25" s="22"/>
      <c r="E25" s="22"/>
      <c r="F25" s="22"/>
      <c r="G25" s="22"/>
      <c r="H25" s="22"/>
    </row>
    <row r="26" spans="1:8" ht="14.05" customHeight="1">
      <c r="A26" s="5"/>
      <c r="B26" s="5"/>
      <c r="C26" s="5"/>
      <c r="D26" s="5"/>
      <c r="E26" s="5"/>
      <c r="F26" s="5"/>
      <c r="G26" s="5"/>
      <c r="H26" s="5"/>
    </row>
    <row r="27" spans="1:8" ht="14.05" customHeight="1">
      <c r="A27" s="5"/>
      <c r="B27" s="5"/>
      <c r="C27" s="5"/>
      <c r="D27" s="5"/>
      <c r="E27" s="5"/>
      <c r="F27" s="5"/>
      <c r="G27" s="5"/>
      <c r="H27" s="5"/>
    </row>
    <row r="28" spans="1:8" ht="14.05" customHeight="1">
      <c r="A28" s="5"/>
      <c r="B28" s="5"/>
      <c r="C28" s="5"/>
      <c r="D28" s="5"/>
      <c r="E28" s="5"/>
      <c r="F28" s="5"/>
      <c r="G28" s="5"/>
      <c r="H28" s="5"/>
    </row>
    <row r="29" spans="1:8" ht="14.05" customHeight="1">
      <c r="A29" s="5"/>
      <c r="B29" s="5"/>
      <c r="C29" s="5"/>
      <c r="D29" s="5"/>
      <c r="E29" s="5"/>
      <c r="F29" s="5"/>
      <c r="G29" s="5"/>
      <c r="H29" s="5"/>
    </row>
    <row r="30" spans="1:8" ht="14.05" customHeight="1">
      <c r="A30" s="5"/>
      <c r="B30" s="5"/>
      <c r="C30" s="5"/>
      <c r="D30" s="5"/>
      <c r="E30" s="5"/>
      <c r="F30" s="5"/>
      <c r="G30" s="5"/>
      <c r="H30" s="5"/>
    </row>
    <row r="31" spans="1:8" ht="14.05" customHeight="1">
      <c r="A31" s="5"/>
      <c r="B31" s="5"/>
      <c r="C31" s="5"/>
      <c r="D31" s="5"/>
      <c r="E31" s="5"/>
      <c r="F31" s="5"/>
      <c r="G31" s="5"/>
      <c r="H31" s="5"/>
    </row>
    <row r="32" spans="1:8" ht="14.05" customHeight="1">
      <c r="A32" s="22" t="s">
        <v>10</v>
      </c>
      <c r="B32" s="22"/>
      <c r="C32" s="22"/>
      <c r="D32" s="22"/>
      <c r="E32" s="22"/>
      <c r="F32" s="22"/>
      <c r="G32" s="22"/>
      <c r="H32" s="22"/>
    </row>
    <row r="33" spans="1:8" ht="14.05" customHeight="1">
      <c r="A33" s="22"/>
      <c r="B33" s="22"/>
      <c r="C33" s="22"/>
      <c r="D33" s="22"/>
      <c r="E33" s="22"/>
      <c r="F33" s="22"/>
      <c r="G33" s="22"/>
      <c r="H33" s="22"/>
    </row>
    <row r="34" spans="1:8" ht="14.05" customHeight="1">
      <c r="A34" s="22"/>
      <c r="B34" s="22"/>
      <c r="C34" s="22"/>
      <c r="D34" s="22"/>
      <c r="E34" s="22"/>
      <c r="F34" s="22"/>
      <c r="G34" s="22"/>
      <c r="H34" s="22"/>
    </row>
    <row r="35" spans="1:8" ht="14.05" customHeight="1">
      <c r="A35" s="5"/>
      <c r="B35" s="5"/>
      <c r="C35" s="5"/>
      <c r="D35" s="5"/>
      <c r="E35" s="5"/>
      <c r="F35" s="5"/>
      <c r="G35" s="5"/>
      <c r="H35" s="5"/>
    </row>
    <row r="36" spans="1:8" ht="14.05" customHeight="1">
      <c r="A36" s="5"/>
      <c r="B36" s="5"/>
      <c r="C36" s="5"/>
      <c r="D36" s="5"/>
      <c r="E36" s="5"/>
      <c r="F36" s="5"/>
      <c r="G36" s="5"/>
      <c r="H36" s="5"/>
    </row>
    <row r="37" spans="1:8" ht="14.05" customHeight="1">
      <c r="A37" s="5"/>
      <c r="B37" s="5"/>
      <c r="C37" s="5"/>
      <c r="D37" s="5"/>
      <c r="E37" s="5"/>
      <c r="F37" s="5"/>
      <c r="G37" s="5"/>
      <c r="H37" s="5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4">
    <mergeCell ref="A1:H2"/>
    <mergeCell ref="A23:H25"/>
    <mergeCell ref="A4:H5"/>
    <mergeCell ref="A32:H34"/>
  </mergeCells>
  <pageMargins left="0.39370078740157477" right="0.39370078740157477" top="0.39370078740157477" bottom="0.59055118110236215" header="0.3" footer="0.19685039370078738"/>
  <pageSetup paperSize="9" scale="74" orientation="landscape" r:id="rId1"/>
  <headerFooter>
    <oddFooter>&amp;CCalcy | Page &amp;P&amp;Rcalcy.com.au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6A4F"/>
    <pageSetUpPr fitToPage="1"/>
  </sheetPr>
  <dimension ref="A1:H70"/>
  <sheetViews>
    <sheetView showGridLines="0" zoomScaleNormal="100" workbookViewId="0">
      <selection sqref="A1:H2"/>
    </sheetView>
  </sheetViews>
  <sheetFormatPr defaultRowHeight="14.15"/>
  <cols>
    <col min="1" max="1" width="36" customWidth="1"/>
    <col min="2" max="8" width="17" customWidth="1"/>
  </cols>
  <sheetData>
    <row r="1" spans="1:8" ht="23.05" customHeight="1">
      <c r="A1" s="25" t="s">
        <v>11</v>
      </c>
      <c r="B1" s="25"/>
      <c r="C1" s="25"/>
      <c r="D1" s="25"/>
      <c r="E1" s="25"/>
      <c r="F1" s="25"/>
      <c r="G1" s="25"/>
      <c r="H1" s="25"/>
    </row>
    <row r="2" spans="1:8" ht="23.05" customHeight="1">
      <c r="A2" s="25"/>
      <c r="B2" s="25"/>
      <c r="C2" s="25"/>
      <c r="D2" s="25"/>
      <c r="E2" s="25"/>
      <c r="F2" s="25"/>
      <c r="G2" s="25"/>
      <c r="H2" s="25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/>
      <c r="C4" s="1"/>
      <c r="D4" s="1"/>
      <c r="E4" s="1"/>
      <c r="F4" s="1"/>
      <c r="G4" s="1"/>
      <c r="H4" s="1"/>
    </row>
    <row r="5" spans="1:8" ht="34" customHeight="1">
      <c r="A5" s="1" t="s">
        <v>12</v>
      </c>
      <c r="B5" s="12">
        <v>750000</v>
      </c>
      <c r="C5" s="24" t="s">
        <v>13</v>
      </c>
      <c r="D5" s="24"/>
      <c r="E5" s="24"/>
      <c r="F5" s="24"/>
      <c r="G5" s="24"/>
      <c r="H5" s="24"/>
    </row>
    <row r="6" spans="1:8" ht="34" customHeight="1">
      <c r="A6" s="1" t="s">
        <v>1</v>
      </c>
      <c r="B6" s="13">
        <v>0.2</v>
      </c>
      <c r="C6" s="24" t="s">
        <v>14</v>
      </c>
      <c r="D6" s="24"/>
      <c r="E6" s="24"/>
      <c r="F6" s="24"/>
      <c r="G6" s="24"/>
      <c r="H6" s="24"/>
    </row>
    <row r="7" spans="1:8" ht="34" customHeight="1">
      <c r="A7" s="1" t="s">
        <v>15</v>
      </c>
      <c r="B7" s="12">
        <v>45000</v>
      </c>
      <c r="C7" s="24" t="s">
        <v>16</v>
      </c>
      <c r="D7" s="24"/>
      <c r="E7" s="24"/>
      <c r="F7" s="24"/>
      <c r="G7" s="24"/>
      <c r="H7" s="24"/>
    </row>
    <row r="8" spans="1:8" ht="34" customHeight="1">
      <c r="A8" s="1" t="s">
        <v>17</v>
      </c>
      <c r="B8" s="12">
        <v>3000</v>
      </c>
      <c r="C8" s="24" t="s">
        <v>18</v>
      </c>
      <c r="D8" s="24"/>
      <c r="E8" s="24"/>
      <c r="F8" s="24"/>
      <c r="G8" s="24"/>
      <c r="H8" s="24"/>
    </row>
    <row r="9" spans="1:8" ht="34" customHeight="1">
      <c r="A9" s="1" t="s">
        <v>19</v>
      </c>
      <c r="B9" s="12">
        <v>5000</v>
      </c>
      <c r="C9" s="24" t="s">
        <v>20</v>
      </c>
      <c r="D9" s="24"/>
      <c r="E9" s="24"/>
      <c r="F9" s="24"/>
      <c r="G9" s="24"/>
      <c r="H9" s="24"/>
    </row>
    <row r="10" spans="1:8" ht="34" customHeight="1">
      <c r="A10" s="1" t="s">
        <v>21</v>
      </c>
      <c r="B10" s="14">
        <v>46312</v>
      </c>
      <c r="C10" s="24" t="s">
        <v>22</v>
      </c>
      <c r="D10" s="24"/>
      <c r="E10" s="24"/>
      <c r="F10" s="24"/>
      <c r="G10" s="24"/>
      <c r="H10" s="24"/>
    </row>
    <row r="11" spans="1:8" ht="34" customHeight="1">
      <c r="A11" s="1" t="s">
        <v>23</v>
      </c>
      <c r="B11" s="14">
        <v>47057</v>
      </c>
      <c r="C11" s="24" t="s">
        <v>24</v>
      </c>
      <c r="D11" s="24"/>
      <c r="E11" s="24"/>
      <c r="F11" s="24"/>
      <c r="G11" s="24"/>
      <c r="H11" s="24"/>
    </row>
    <row r="12" spans="1:8" ht="34" customHeight="1">
      <c r="A12" s="1" t="s">
        <v>25</v>
      </c>
      <c r="B12" s="14">
        <v>46418</v>
      </c>
      <c r="C12" s="24" t="s">
        <v>26</v>
      </c>
      <c r="D12" s="24"/>
      <c r="E12" s="24"/>
      <c r="F12" s="24"/>
      <c r="G12" s="24"/>
      <c r="H12" s="24"/>
    </row>
    <row r="13" spans="1:8" ht="23.05" customHeight="1">
      <c r="A13" s="1"/>
      <c r="B13" s="1"/>
      <c r="C13" s="1"/>
      <c r="D13" s="1"/>
      <c r="E13" s="1"/>
      <c r="F13" s="1"/>
      <c r="G13" s="1"/>
      <c r="H13" s="1"/>
    </row>
    <row r="14" spans="1:8" ht="23.05" customHeight="1">
      <c r="A14" s="1" t="s">
        <v>27</v>
      </c>
      <c r="B14" s="1" t="b">
        <f>IFERROR(AND(AND(ISNUMBER(B5),B5&gt;=1,B5&lt;=100000000),AND(ISNUMBER(B6),B6&gt;=0.0001,B6&lt;=1),AND(ISNUMBER(B7),B7&gt;=0,B7&lt;=100000000),AND(ISNUMBER(B8),B8&gt;=0,B8&lt;=10000000),AND(ISNUMBER(B9),B9&gt;=0,B9&lt;=100000000),AND(ISNUMBER(B10),B10&gt;=36526,B10&lt;=73050),OR(B11="",AND(ISNUMBER(B11),B11&gt;B10,B15&gt;=1,B15&lt;=480)),OR(B9=0,AND(ISNUMBER(B12),B12&gt;=B10,B16&lt;=480))),FALSE)</f>
        <v>1</v>
      </c>
      <c r="C14" s="1"/>
      <c r="D14" s="1"/>
      <c r="E14" s="1"/>
      <c r="F14" s="1"/>
      <c r="G14" s="1"/>
      <c r="H14" s="1"/>
    </row>
    <row r="15" spans="1:8" ht="23.05" customHeight="1">
      <c r="A15" s="1" t="s">
        <v>28</v>
      </c>
      <c r="B15" s="1">
        <f>IF(B11="",0,IFERROR(12*(YEAR(B11)-YEAR(B10))+MONTH(B11)-MONTH(B10),-1))</f>
        <v>24</v>
      </c>
      <c r="C15" s="1"/>
      <c r="D15" s="1"/>
      <c r="E15" s="1"/>
      <c r="F15" s="1"/>
      <c r="G15" s="1"/>
      <c r="H15" s="1"/>
    </row>
    <row r="16" spans="1:8" ht="23.05" customHeight="1">
      <c r="A16" s="1" t="s">
        <v>29</v>
      </c>
      <c r="B16" s="1">
        <f>IF(B9=0,0,IFERROR(MAX(0,12*(YEAR(B12)-YEAR(B10))+MONTH(B12)-MONTH(B10)),-1))</f>
        <v>3</v>
      </c>
      <c r="C16" s="1"/>
      <c r="D16" s="1"/>
      <c r="E16" s="1"/>
      <c r="F16" s="1"/>
      <c r="G16" s="1"/>
      <c r="H16" s="1"/>
    </row>
    <row r="17" spans="1:8" ht="23.05" customHeight="1">
      <c r="A17" s="1"/>
      <c r="B17" s="1"/>
      <c r="C17" s="1"/>
      <c r="D17" s="1"/>
      <c r="E17" s="1"/>
      <c r="F17" s="1"/>
      <c r="G17" s="1"/>
      <c r="H17" s="1"/>
    </row>
    <row r="18" spans="1:8" ht="23.05" customHeight="1">
      <c r="A18" s="1"/>
      <c r="B18" s="1"/>
      <c r="C18" s="1"/>
      <c r="D18" s="1"/>
      <c r="E18" s="1"/>
      <c r="F18" s="1"/>
      <c r="G18" s="1"/>
      <c r="H18" s="1"/>
    </row>
    <row r="19" spans="1:8" ht="23.05" customHeight="1">
      <c r="A19" s="1"/>
      <c r="B19" s="1"/>
      <c r="C19" s="1"/>
      <c r="D19" s="1"/>
      <c r="E19" s="1"/>
      <c r="F19" s="1"/>
      <c r="G19" s="1"/>
      <c r="H19" s="1"/>
    </row>
    <row r="20" spans="1:8" ht="23.05" customHeight="1">
      <c r="A20" s="1"/>
      <c r="B20" s="1"/>
      <c r="C20" s="1"/>
      <c r="D20" s="1"/>
      <c r="E20" s="1"/>
      <c r="F20" s="1"/>
      <c r="G20" s="1"/>
      <c r="H20" s="1"/>
    </row>
    <row r="21" spans="1:8" ht="23.05" customHeight="1">
      <c r="A21" s="1"/>
      <c r="B21" s="1"/>
      <c r="C21" s="1"/>
      <c r="D21" s="1"/>
      <c r="E21" s="1"/>
      <c r="F21" s="1"/>
      <c r="G21" s="1"/>
      <c r="H21" s="1"/>
    </row>
    <row r="22" spans="1:8" ht="23.05" customHeight="1">
      <c r="A22" s="1"/>
      <c r="B22" s="1"/>
      <c r="C22" s="1"/>
      <c r="D22" s="1"/>
      <c r="E22" s="1"/>
      <c r="F22" s="1"/>
      <c r="G22" s="1"/>
      <c r="H22" s="1"/>
    </row>
    <row r="23" spans="1:8" ht="23.05" customHeight="1">
      <c r="A23" s="1"/>
      <c r="B23" s="1"/>
      <c r="C23" s="1"/>
      <c r="D23" s="1"/>
      <c r="E23" s="1"/>
      <c r="F23" s="1"/>
      <c r="G23" s="1"/>
      <c r="H23" s="1"/>
    </row>
    <row r="24" spans="1:8" ht="23.05" customHeight="1">
      <c r="A24" s="1"/>
      <c r="B24" s="1"/>
      <c r="C24" s="1"/>
      <c r="D24" s="1"/>
      <c r="E24" s="1"/>
      <c r="F24" s="1"/>
      <c r="G24" s="1"/>
      <c r="H24" s="1"/>
    </row>
    <row r="25" spans="1:8" ht="23.05" customHeight="1">
      <c r="A25" s="1"/>
      <c r="B25" s="1"/>
      <c r="C25" s="1"/>
      <c r="D25" s="1"/>
      <c r="E25" s="1"/>
      <c r="F25" s="1"/>
      <c r="G25" s="1"/>
      <c r="H25" s="1"/>
    </row>
    <row r="26" spans="1:8" ht="23.05" customHeight="1">
      <c r="A26" s="1"/>
      <c r="B26" s="1"/>
      <c r="C26" s="1"/>
      <c r="D26" s="1"/>
      <c r="E26" s="1"/>
      <c r="F26" s="1"/>
      <c r="G26" s="1"/>
      <c r="H26" s="1"/>
    </row>
    <row r="27" spans="1:8" ht="23.05" customHeight="1">
      <c r="A27" s="1"/>
      <c r="B27" s="1"/>
      <c r="C27" s="1"/>
      <c r="D27" s="1"/>
      <c r="E27" s="1"/>
      <c r="F27" s="1"/>
      <c r="G27" s="1"/>
      <c r="H27" s="1"/>
    </row>
    <row r="28" spans="1:8" ht="23.05" customHeight="1">
      <c r="A28" s="1"/>
      <c r="B28" s="1"/>
      <c r="C28" s="1"/>
      <c r="D28" s="1"/>
      <c r="E28" s="1"/>
      <c r="F28" s="1"/>
      <c r="G28" s="1"/>
      <c r="H28" s="1"/>
    </row>
    <row r="29" spans="1:8" ht="23.05" customHeight="1">
      <c r="A29" s="1"/>
      <c r="B29" s="1"/>
      <c r="C29" s="1"/>
      <c r="D29" s="1"/>
      <c r="E29" s="1"/>
      <c r="F29" s="1"/>
      <c r="G29" s="1"/>
      <c r="H29" s="1"/>
    </row>
    <row r="30" spans="1:8" ht="23.05" customHeight="1">
      <c r="A30" s="1"/>
      <c r="B30" s="1"/>
      <c r="C30" s="1"/>
      <c r="D30" s="1"/>
      <c r="E30" s="1"/>
      <c r="F30" s="1"/>
      <c r="G30" s="1"/>
      <c r="H30" s="1"/>
    </row>
    <row r="31" spans="1:8" ht="23.05" customHeight="1">
      <c r="A31" s="1"/>
      <c r="B31" s="1"/>
      <c r="C31" s="1"/>
      <c r="D31" s="1"/>
      <c r="E31" s="1"/>
      <c r="F31" s="1"/>
      <c r="G31" s="1"/>
      <c r="H31" s="1"/>
    </row>
    <row r="32" spans="1:8" ht="23.05" customHeight="1">
      <c r="A32" s="1"/>
      <c r="B32" s="1"/>
      <c r="C32" s="1"/>
      <c r="D32" s="1"/>
      <c r="E32" s="1"/>
      <c r="F32" s="1"/>
      <c r="G32" s="1"/>
      <c r="H32" s="1"/>
    </row>
    <row r="33" spans="1:8" ht="23.05" customHeight="1">
      <c r="A33" s="1"/>
      <c r="B33" s="1"/>
      <c r="C33" s="1"/>
      <c r="D33" s="1"/>
      <c r="E33" s="1"/>
      <c r="F33" s="1"/>
      <c r="G33" s="1"/>
      <c r="H33" s="1"/>
    </row>
    <row r="34" spans="1:8" ht="23.05" customHeight="1">
      <c r="A34" s="1"/>
      <c r="B34" s="1"/>
      <c r="C34" s="1"/>
      <c r="D34" s="1"/>
      <c r="E34" s="1"/>
      <c r="F34" s="1"/>
      <c r="G34" s="1"/>
      <c r="H34" s="1"/>
    </row>
    <row r="35" spans="1:8" ht="23.05" customHeight="1">
      <c r="A35" s="1"/>
      <c r="B35" s="1"/>
      <c r="C35" s="1"/>
      <c r="D35" s="1"/>
      <c r="E35" s="1"/>
      <c r="F35" s="1"/>
      <c r="G35" s="1"/>
      <c r="H35" s="1"/>
    </row>
    <row r="36" spans="1:8" ht="23.05" customHeight="1">
      <c r="A36" s="1"/>
      <c r="B36" s="1"/>
      <c r="C36" s="1"/>
      <c r="D36" s="1"/>
      <c r="E36" s="1"/>
      <c r="F36" s="1"/>
      <c r="G36" s="1"/>
      <c r="H36" s="1"/>
    </row>
    <row r="37" spans="1:8" ht="23.05" customHeight="1">
      <c r="A37" s="1"/>
      <c r="B37" s="1"/>
      <c r="C37" s="1"/>
      <c r="D37" s="1"/>
      <c r="E37" s="1"/>
      <c r="F37" s="1"/>
      <c r="G37" s="1"/>
      <c r="H37" s="1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9">
    <mergeCell ref="C9:H9"/>
    <mergeCell ref="C10:H10"/>
    <mergeCell ref="C11:H11"/>
    <mergeCell ref="C12:H12"/>
    <mergeCell ref="A1:H2"/>
    <mergeCell ref="C5:H5"/>
    <mergeCell ref="C6:H6"/>
    <mergeCell ref="C7:H7"/>
    <mergeCell ref="C8:H8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D6A4F"/>
    <pageSetUpPr fitToPage="1"/>
  </sheetPr>
  <dimension ref="A1:H486"/>
  <sheetViews>
    <sheetView showGridLines="0" zoomScaleNormal="100" workbookViewId="0">
      <pane ySplit="6" topLeftCell="A7" activePane="bottomLeft" state="frozen"/>
      <selection pane="bottomLeft" sqref="A1:H2"/>
    </sheetView>
  </sheetViews>
  <sheetFormatPr defaultRowHeight="14.15"/>
  <cols>
    <col min="1" max="1" width="9" customWidth="1"/>
    <col min="2" max="8" width="19" customWidth="1"/>
  </cols>
  <sheetData>
    <row r="1" spans="1:8" ht="23.05" customHeight="1">
      <c r="A1" s="25" t="s">
        <v>30</v>
      </c>
      <c r="B1" s="25"/>
      <c r="C1" s="25"/>
      <c r="D1" s="25"/>
      <c r="E1" s="25"/>
      <c r="F1" s="25"/>
      <c r="G1" s="25"/>
      <c r="H1" s="25"/>
    </row>
    <row r="2" spans="1:8" ht="23.05" customHeight="1">
      <c r="A2" s="25"/>
      <c r="B2" s="25"/>
      <c r="C2" s="25"/>
      <c r="D2" s="25"/>
      <c r="E2" s="25"/>
      <c r="F2" s="25"/>
      <c r="G2" s="25"/>
      <c r="H2" s="25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/>
      <c r="C4" s="1"/>
      <c r="D4" s="1"/>
      <c r="E4" s="1"/>
      <c r="F4" s="1"/>
      <c r="G4" s="1"/>
      <c r="H4" s="1"/>
    </row>
    <row r="5" spans="1:8" ht="23.05" customHeight="1">
      <c r="A5" s="1"/>
      <c r="B5" s="1"/>
      <c r="C5" s="1"/>
      <c r="D5" s="1"/>
      <c r="E5" s="1"/>
      <c r="F5" s="1"/>
      <c r="G5" s="1"/>
      <c r="H5" s="1"/>
    </row>
    <row r="6" spans="1:8" ht="36" customHeight="1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</row>
    <row r="7" spans="1:8" ht="21" customHeight="1">
      <c r="A7" s="1">
        <f>IF('Savings Inputs'!$B$14,1,"")</f>
        <v>1</v>
      </c>
      <c r="B7" s="19">
        <f>IF(A7="","",DATE(YEAR('Savings Inputs'!$B$10),MONTH('Savings Inputs'!$B$10)+A7+1,0))</f>
        <v>46356</v>
      </c>
      <c r="C7" s="3">
        <f>IF(A7="","",'Savings Inputs'!$B$7+IF('Savings Inputs'!$B$16=0,'Savings Inputs'!$B$9,0))</f>
        <v>45000</v>
      </c>
      <c r="D7" s="3">
        <f>IF(A7="","",'Savings Inputs'!$B$8)</f>
        <v>3000</v>
      </c>
      <c r="E7" s="3">
        <f>IF(A7="","",IF(A7='Savings Inputs'!$B$16,'Savings Inputs'!$B$9,0))</f>
        <v>0</v>
      </c>
      <c r="F7" s="3">
        <f t="shared" ref="F7:F70" si="0">IF(A7="","",SUM(C7:E7))</f>
        <v>48000</v>
      </c>
      <c r="G7" s="20">
        <f>IF(A7="","",F7/Dashboard!$B$7)</f>
        <v>0.32</v>
      </c>
      <c r="H7" s="1">
        <f>IF(A7="","",IF(F7&gt;=Dashboard!$B$7,1,0))</f>
        <v>0</v>
      </c>
    </row>
    <row r="8" spans="1:8" ht="21" customHeight="1">
      <c r="A8" s="1">
        <f>IF('Savings Inputs'!$B$14,2,"")</f>
        <v>2</v>
      </c>
      <c r="B8" s="19">
        <f>IF(A8="","",DATE(YEAR('Savings Inputs'!$B$10),MONTH('Savings Inputs'!$B$10)+A8+1,0))</f>
        <v>46387</v>
      </c>
      <c r="C8" s="3">
        <f t="shared" ref="C8:C71" si="1">IF(A8="","",F7)</f>
        <v>48000</v>
      </c>
      <c r="D8" s="3">
        <f>IF(A8="","",'Savings Inputs'!$B$8)</f>
        <v>3000</v>
      </c>
      <c r="E8" s="3">
        <f>IF(A8="","",IF(A8='Savings Inputs'!$B$16,'Savings Inputs'!$B$9,0))</f>
        <v>0</v>
      </c>
      <c r="F8" s="3">
        <f t="shared" si="0"/>
        <v>51000</v>
      </c>
      <c r="G8" s="20">
        <f>IF(A8="","",F8/Dashboard!$B$7)</f>
        <v>0.34</v>
      </c>
      <c r="H8" s="1">
        <f>IF(A8="","",IF(F8&gt;=Dashboard!$B$7,1,0))</f>
        <v>0</v>
      </c>
    </row>
    <row r="9" spans="1:8" ht="21" customHeight="1">
      <c r="A9" s="1">
        <f>IF('Savings Inputs'!$B$14,3,"")</f>
        <v>3</v>
      </c>
      <c r="B9" s="19">
        <f>IF(A9="","",DATE(YEAR('Savings Inputs'!$B$10),MONTH('Savings Inputs'!$B$10)+A9+1,0))</f>
        <v>46418</v>
      </c>
      <c r="C9" s="3">
        <f t="shared" si="1"/>
        <v>51000</v>
      </c>
      <c r="D9" s="3">
        <f>IF(A9="","",'Savings Inputs'!$B$8)</f>
        <v>3000</v>
      </c>
      <c r="E9" s="3">
        <f>IF(A9="","",IF(A9='Savings Inputs'!$B$16,'Savings Inputs'!$B$9,0))</f>
        <v>5000</v>
      </c>
      <c r="F9" s="3">
        <f t="shared" si="0"/>
        <v>59000</v>
      </c>
      <c r="G9" s="20">
        <f>IF(A9="","",F9/Dashboard!$B$7)</f>
        <v>0.39333333333333331</v>
      </c>
      <c r="H9" s="1">
        <f>IF(A9="","",IF(F9&gt;=Dashboard!$B$7,1,0))</f>
        <v>0</v>
      </c>
    </row>
    <row r="10" spans="1:8" ht="21" customHeight="1">
      <c r="A10" s="1">
        <f>IF('Savings Inputs'!$B$14,4,"")</f>
        <v>4</v>
      </c>
      <c r="B10" s="19">
        <f>IF(A10="","",DATE(YEAR('Savings Inputs'!$B$10),MONTH('Savings Inputs'!$B$10)+A10+1,0))</f>
        <v>46446</v>
      </c>
      <c r="C10" s="3">
        <f t="shared" si="1"/>
        <v>59000</v>
      </c>
      <c r="D10" s="3">
        <f>IF(A10="","",'Savings Inputs'!$B$8)</f>
        <v>3000</v>
      </c>
      <c r="E10" s="3">
        <f>IF(A10="","",IF(A10='Savings Inputs'!$B$16,'Savings Inputs'!$B$9,0))</f>
        <v>0</v>
      </c>
      <c r="F10" s="3">
        <f t="shared" si="0"/>
        <v>62000</v>
      </c>
      <c r="G10" s="20">
        <f>IF(A10="","",F10/Dashboard!$B$7)</f>
        <v>0.41333333333333333</v>
      </c>
      <c r="H10" s="1">
        <f>IF(A10="","",IF(F10&gt;=Dashboard!$B$7,1,0))</f>
        <v>0</v>
      </c>
    </row>
    <row r="11" spans="1:8" ht="21" customHeight="1">
      <c r="A11" s="1">
        <f>IF('Savings Inputs'!$B$14,5,"")</f>
        <v>5</v>
      </c>
      <c r="B11" s="19">
        <f>IF(A11="","",DATE(YEAR('Savings Inputs'!$B$10),MONTH('Savings Inputs'!$B$10)+A11+1,0))</f>
        <v>46477</v>
      </c>
      <c r="C11" s="3">
        <f t="shared" si="1"/>
        <v>62000</v>
      </c>
      <c r="D11" s="3">
        <f>IF(A11="","",'Savings Inputs'!$B$8)</f>
        <v>3000</v>
      </c>
      <c r="E11" s="3">
        <f>IF(A11="","",IF(A11='Savings Inputs'!$B$16,'Savings Inputs'!$B$9,0))</f>
        <v>0</v>
      </c>
      <c r="F11" s="3">
        <f t="shared" si="0"/>
        <v>65000</v>
      </c>
      <c r="G11" s="20">
        <f>IF(A11="","",F11/Dashboard!$B$7)</f>
        <v>0.43333333333333335</v>
      </c>
      <c r="H11" s="1">
        <f>IF(A11="","",IF(F11&gt;=Dashboard!$B$7,1,0))</f>
        <v>0</v>
      </c>
    </row>
    <row r="12" spans="1:8" ht="21" customHeight="1">
      <c r="A12" s="1">
        <f>IF('Savings Inputs'!$B$14,6,"")</f>
        <v>6</v>
      </c>
      <c r="B12" s="19">
        <f>IF(A12="","",DATE(YEAR('Savings Inputs'!$B$10),MONTH('Savings Inputs'!$B$10)+A12+1,0))</f>
        <v>46507</v>
      </c>
      <c r="C12" s="3">
        <f t="shared" si="1"/>
        <v>65000</v>
      </c>
      <c r="D12" s="3">
        <f>IF(A12="","",'Savings Inputs'!$B$8)</f>
        <v>3000</v>
      </c>
      <c r="E12" s="3">
        <f>IF(A12="","",IF(A12='Savings Inputs'!$B$16,'Savings Inputs'!$B$9,0))</f>
        <v>0</v>
      </c>
      <c r="F12" s="3">
        <f t="shared" si="0"/>
        <v>68000</v>
      </c>
      <c r="G12" s="20">
        <f>IF(A12="","",F12/Dashboard!$B$7)</f>
        <v>0.45333333333333331</v>
      </c>
      <c r="H12" s="1">
        <f>IF(A12="","",IF(F12&gt;=Dashboard!$B$7,1,0))</f>
        <v>0</v>
      </c>
    </row>
    <row r="13" spans="1:8" ht="21" customHeight="1">
      <c r="A13" s="1">
        <f>IF('Savings Inputs'!$B$14,7,"")</f>
        <v>7</v>
      </c>
      <c r="B13" s="19">
        <f>IF(A13="","",DATE(YEAR('Savings Inputs'!$B$10),MONTH('Savings Inputs'!$B$10)+A13+1,0))</f>
        <v>46538</v>
      </c>
      <c r="C13" s="3">
        <f t="shared" si="1"/>
        <v>68000</v>
      </c>
      <c r="D13" s="3">
        <f>IF(A13="","",'Savings Inputs'!$B$8)</f>
        <v>3000</v>
      </c>
      <c r="E13" s="3">
        <f>IF(A13="","",IF(A13='Savings Inputs'!$B$16,'Savings Inputs'!$B$9,0))</f>
        <v>0</v>
      </c>
      <c r="F13" s="3">
        <f t="shared" si="0"/>
        <v>71000</v>
      </c>
      <c r="G13" s="20">
        <f>IF(A13="","",F13/Dashboard!$B$7)</f>
        <v>0.47333333333333333</v>
      </c>
      <c r="H13" s="1">
        <f>IF(A13="","",IF(F13&gt;=Dashboard!$B$7,1,0))</f>
        <v>0</v>
      </c>
    </row>
    <row r="14" spans="1:8" ht="21" customHeight="1">
      <c r="A14" s="1">
        <f>IF('Savings Inputs'!$B$14,8,"")</f>
        <v>8</v>
      </c>
      <c r="B14" s="19">
        <f>IF(A14="","",DATE(YEAR('Savings Inputs'!$B$10),MONTH('Savings Inputs'!$B$10)+A14+1,0))</f>
        <v>46568</v>
      </c>
      <c r="C14" s="3">
        <f t="shared" si="1"/>
        <v>71000</v>
      </c>
      <c r="D14" s="3">
        <f>IF(A14="","",'Savings Inputs'!$B$8)</f>
        <v>3000</v>
      </c>
      <c r="E14" s="3">
        <f>IF(A14="","",IF(A14='Savings Inputs'!$B$16,'Savings Inputs'!$B$9,0))</f>
        <v>0</v>
      </c>
      <c r="F14" s="3">
        <f t="shared" si="0"/>
        <v>74000</v>
      </c>
      <c r="G14" s="20">
        <f>IF(A14="","",F14/Dashboard!$B$7)</f>
        <v>0.49333333333333335</v>
      </c>
      <c r="H14" s="1">
        <f>IF(A14="","",IF(F14&gt;=Dashboard!$B$7,1,0))</f>
        <v>0</v>
      </c>
    </row>
    <row r="15" spans="1:8" ht="21" customHeight="1">
      <c r="A15" s="1">
        <f>IF('Savings Inputs'!$B$14,9,"")</f>
        <v>9</v>
      </c>
      <c r="B15" s="19">
        <f>IF(A15="","",DATE(YEAR('Savings Inputs'!$B$10),MONTH('Savings Inputs'!$B$10)+A15+1,0))</f>
        <v>46599</v>
      </c>
      <c r="C15" s="3">
        <f t="shared" si="1"/>
        <v>74000</v>
      </c>
      <c r="D15" s="3">
        <f>IF(A15="","",'Savings Inputs'!$B$8)</f>
        <v>3000</v>
      </c>
      <c r="E15" s="3">
        <f>IF(A15="","",IF(A15='Savings Inputs'!$B$16,'Savings Inputs'!$B$9,0))</f>
        <v>0</v>
      </c>
      <c r="F15" s="3">
        <f t="shared" si="0"/>
        <v>77000</v>
      </c>
      <c r="G15" s="20">
        <f>IF(A15="","",F15/Dashboard!$B$7)</f>
        <v>0.51333333333333331</v>
      </c>
      <c r="H15" s="1">
        <f>IF(A15="","",IF(F15&gt;=Dashboard!$B$7,1,0))</f>
        <v>0</v>
      </c>
    </row>
    <row r="16" spans="1:8" ht="21" customHeight="1">
      <c r="A16" s="1">
        <f>IF('Savings Inputs'!$B$14,10,"")</f>
        <v>10</v>
      </c>
      <c r="B16" s="19">
        <f>IF(A16="","",DATE(YEAR('Savings Inputs'!$B$10),MONTH('Savings Inputs'!$B$10)+A16+1,0))</f>
        <v>46630</v>
      </c>
      <c r="C16" s="3">
        <f t="shared" si="1"/>
        <v>77000</v>
      </c>
      <c r="D16" s="3">
        <f>IF(A16="","",'Savings Inputs'!$B$8)</f>
        <v>3000</v>
      </c>
      <c r="E16" s="3">
        <f>IF(A16="","",IF(A16='Savings Inputs'!$B$16,'Savings Inputs'!$B$9,0))</f>
        <v>0</v>
      </c>
      <c r="F16" s="3">
        <f t="shared" si="0"/>
        <v>80000</v>
      </c>
      <c r="G16" s="20">
        <f>IF(A16="","",F16/Dashboard!$B$7)</f>
        <v>0.53333333333333333</v>
      </c>
      <c r="H16" s="1">
        <f>IF(A16="","",IF(F16&gt;=Dashboard!$B$7,1,0))</f>
        <v>0</v>
      </c>
    </row>
    <row r="17" spans="1:8" ht="21" customHeight="1">
      <c r="A17" s="1">
        <f>IF('Savings Inputs'!$B$14,11,"")</f>
        <v>11</v>
      </c>
      <c r="B17" s="19">
        <f>IF(A17="","",DATE(YEAR('Savings Inputs'!$B$10),MONTH('Savings Inputs'!$B$10)+A17+1,0))</f>
        <v>46660</v>
      </c>
      <c r="C17" s="3">
        <f t="shared" si="1"/>
        <v>80000</v>
      </c>
      <c r="D17" s="3">
        <f>IF(A17="","",'Savings Inputs'!$B$8)</f>
        <v>3000</v>
      </c>
      <c r="E17" s="3">
        <f>IF(A17="","",IF(A17='Savings Inputs'!$B$16,'Savings Inputs'!$B$9,0))</f>
        <v>0</v>
      </c>
      <c r="F17" s="3">
        <f t="shared" si="0"/>
        <v>83000</v>
      </c>
      <c r="G17" s="20">
        <f>IF(A17="","",F17/Dashboard!$B$7)</f>
        <v>0.55333333333333334</v>
      </c>
      <c r="H17" s="1">
        <f>IF(A17="","",IF(F17&gt;=Dashboard!$B$7,1,0))</f>
        <v>0</v>
      </c>
    </row>
    <row r="18" spans="1:8" ht="21" customHeight="1">
      <c r="A18" s="1">
        <f>IF('Savings Inputs'!$B$14,12,"")</f>
        <v>12</v>
      </c>
      <c r="B18" s="19">
        <f>IF(A18="","",DATE(YEAR('Savings Inputs'!$B$10),MONTH('Savings Inputs'!$B$10)+A18+1,0))</f>
        <v>46691</v>
      </c>
      <c r="C18" s="3">
        <f t="shared" si="1"/>
        <v>83000</v>
      </c>
      <c r="D18" s="3">
        <f>IF(A18="","",'Savings Inputs'!$B$8)</f>
        <v>3000</v>
      </c>
      <c r="E18" s="3">
        <f>IF(A18="","",IF(A18='Savings Inputs'!$B$16,'Savings Inputs'!$B$9,0))</f>
        <v>0</v>
      </c>
      <c r="F18" s="3">
        <f t="shared" si="0"/>
        <v>86000</v>
      </c>
      <c r="G18" s="20">
        <f>IF(A18="","",F18/Dashboard!$B$7)</f>
        <v>0.57333333333333336</v>
      </c>
      <c r="H18" s="1">
        <f>IF(A18="","",IF(F18&gt;=Dashboard!$B$7,1,0))</f>
        <v>0</v>
      </c>
    </row>
    <row r="19" spans="1:8" ht="21" customHeight="1">
      <c r="A19" s="1">
        <f>IF('Savings Inputs'!$B$14,13,"")</f>
        <v>13</v>
      </c>
      <c r="B19" s="19">
        <f>IF(A19="","",DATE(YEAR('Savings Inputs'!$B$10),MONTH('Savings Inputs'!$B$10)+A19+1,0))</f>
        <v>46721</v>
      </c>
      <c r="C19" s="3">
        <f t="shared" si="1"/>
        <v>86000</v>
      </c>
      <c r="D19" s="3">
        <f>IF(A19="","",'Savings Inputs'!$B$8)</f>
        <v>3000</v>
      </c>
      <c r="E19" s="3">
        <f>IF(A19="","",IF(A19='Savings Inputs'!$B$16,'Savings Inputs'!$B$9,0))</f>
        <v>0</v>
      </c>
      <c r="F19" s="3">
        <f t="shared" si="0"/>
        <v>89000</v>
      </c>
      <c r="G19" s="20">
        <f>IF(A19="","",F19/Dashboard!$B$7)</f>
        <v>0.59333333333333338</v>
      </c>
      <c r="H19" s="1">
        <f>IF(A19="","",IF(F19&gt;=Dashboard!$B$7,1,0))</f>
        <v>0</v>
      </c>
    </row>
    <row r="20" spans="1:8" ht="21" customHeight="1">
      <c r="A20" s="1">
        <f>IF('Savings Inputs'!$B$14,14,"")</f>
        <v>14</v>
      </c>
      <c r="B20" s="19">
        <f>IF(A20="","",DATE(YEAR('Savings Inputs'!$B$10),MONTH('Savings Inputs'!$B$10)+A20+1,0))</f>
        <v>46752</v>
      </c>
      <c r="C20" s="3">
        <f t="shared" si="1"/>
        <v>89000</v>
      </c>
      <c r="D20" s="3">
        <f>IF(A20="","",'Savings Inputs'!$B$8)</f>
        <v>3000</v>
      </c>
      <c r="E20" s="3">
        <f>IF(A20="","",IF(A20='Savings Inputs'!$B$16,'Savings Inputs'!$B$9,0))</f>
        <v>0</v>
      </c>
      <c r="F20" s="3">
        <f t="shared" si="0"/>
        <v>92000</v>
      </c>
      <c r="G20" s="20">
        <f>IF(A20="","",F20/Dashboard!$B$7)</f>
        <v>0.61333333333333329</v>
      </c>
      <c r="H20" s="1">
        <f>IF(A20="","",IF(F20&gt;=Dashboard!$B$7,1,0))</f>
        <v>0</v>
      </c>
    </row>
    <row r="21" spans="1:8" ht="21" customHeight="1">
      <c r="A21" s="1">
        <f>IF('Savings Inputs'!$B$14,15,"")</f>
        <v>15</v>
      </c>
      <c r="B21" s="19">
        <f>IF(A21="","",DATE(YEAR('Savings Inputs'!$B$10),MONTH('Savings Inputs'!$B$10)+A21+1,0))</f>
        <v>46783</v>
      </c>
      <c r="C21" s="3">
        <f t="shared" si="1"/>
        <v>92000</v>
      </c>
      <c r="D21" s="3">
        <f>IF(A21="","",'Savings Inputs'!$B$8)</f>
        <v>3000</v>
      </c>
      <c r="E21" s="3">
        <f>IF(A21="","",IF(A21='Savings Inputs'!$B$16,'Savings Inputs'!$B$9,0))</f>
        <v>0</v>
      </c>
      <c r="F21" s="3">
        <f t="shared" si="0"/>
        <v>95000</v>
      </c>
      <c r="G21" s="20">
        <f>IF(A21="","",F21/Dashboard!$B$7)</f>
        <v>0.6333333333333333</v>
      </c>
      <c r="H21" s="1">
        <f>IF(A21="","",IF(F21&gt;=Dashboard!$B$7,1,0))</f>
        <v>0</v>
      </c>
    </row>
    <row r="22" spans="1:8" ht="21" customHeight="1">
      <c r="A22" s="1">
        <f>IF('Savings Inputs'!$B$14,16,"")</f>
        <v>16</v>
      </c>
      <c r="B22" s="19">
        <f>IF(A22="","",DATE(YEAR('Savings Inputs'!$B$10),MONTH('Savings Inputs'!$B$10)+A22+1,0))</f>
        <v>46812</v>
      </c>
      <c r="C22" s="3">
        <f t="shared" si="1"/>
        <v>95000</v>
      </c>
      <c r="D22" s="3">
        <f>IF(A22="","",'Savings Inputs'!$B$8)</f>
        <v>3000</v>
      </c>
      <c r="E22" s="3">
        <f>IF(A22="","",IF(A22='Savings Inputs'!$B$16,'Savings Inputs'!$B$9,0))</f>
        <v>0</v>
      </c>
      <c r="F22" s="3">
        <f t="shared" si="0"/>
        <v>98000</v>
      </c>
      <c r="G22" s="20">
        <f>IF(A22="","",F22/Dashboard!$B$7)</f>
        <v>0.65333333333333332</v>
      </c>
      <c r="H22" s="1">
        <f>IF(A22="","",IF(F22&gt;=Dashboard!$B$7,1,0))</f>
        <v>0</v>
      </c>
    </row>
    <row r="23" spans="1:8" ht="21" customHeight="1">
      <c r="A23" s="1">
        <f>IF('Savings Inputs'!$B$14,17,"")</f>
        <v>17</v>
      </c>
      <c r="B23" s="19">
        <f>IF(A23="","",DATE(YEAR('Savings Inputs'!$B$10),MONTH('Savings Inputs'!$B$10)+A23+1,0))</f>
        <v>46843</v>
      </c>
      <c r="C23" s="3">
        <f t="shared" si="1"/>
        <v>98000</v>
      </c>
      <c r="D23" s="3">
        <f>IF(A23="","",'Savings Inputs'!$B$8)</f>
        <v>3000</v>
      </c>
      <c r="E23" s="3">
        <f>IF(A23="","",IF(A23='Savings Inputs'!$B$16,'Savings Inputs'!$B$9,0))</f>
        <v>0</v>
      </c>
      <c r="F23" s="3">
        <f t="shared" si="0"/>
        <v>101000</v>
      </c>
      <c r="G23" s="20">
        <f>IF(A23="","",F23/Dashboard!$B$7)</f>
        <v>0.67333333333333334</v>
      </c>
      <c r="H23" s="1">
        <f>IF(A23="","",IF(F23&gt;=Dashboard!$B$7,1,0))</f>
        <v>0</v>
      </c>
    </row>
    <row r="24" spans="1:8" ht="21" customHeight="1">
      <c r="A24" s="1">
        <f>IF('Savings Inputs'!$B$14,18,"")</f>
        <v>18</v>
      </c>
      <c r="B24" s="19">
        <f>IF(A24="","",DATE(YEAR('Savings Inputs'!$B$10),MONTH('Savings Inputs'!$B$10)+A24+1,0))</f>
        <v>46873</v>
      </c>
      <c r="C24" s="3">
        <f t="shared" si="1"/>
        <v>101000</v>
      </c>
      <c r="D24" s="3">
        <f>IF(A24="","",'Savings Inputs'!$B$8)</f>
        <v>3000</v>
      </c>
      <c r="E24" s="3">
        <f>IF(A24="","",IF(A24='Savings Inputs'!$B$16,'Savings Inputs'!$B$9,0))</f>
        <v>0</v>
      </c>
      <c r="F24" s="3">
        <f t="shared" si="0"/>
        <v>104000</v>
      </c>
      <c r="G24" s="20">
        <f>IF(A24="","",F24/Dashboard!$B$7)</f>
        <v>0.69333333333333336</v>
      </c>
      <c r="H24" s="1">
        <f>IF(A24="","",IF(F24&gt;=Dashboard!$B$7,1,0))</f>
        <v>0</v>
      </c>
    </row>
    <row r="25" spans="1:8" ht="21" customHeight="1">
      <c r="A25" s="1">
        <f>IF('Savings Inputs'!$B$14,19,"")</f>
        <v>19</v>
      </c>
      <c r="B25" s="19">
        <f>IF(A25="","",DATE(YEAR('Savings Inputs'!$B$10),MONTH('Savings Inputs'!$B$10)+A25+1,0))</f>
        <v>46904</v>
      </c>
      <c r="C25" s="3">
        <f t="shared" si="1"/>
        <v>104000</v>
      </c>
      <c r="D25" s="3">
        <f>IF(A25="","",'Savings Inputs'!$B$8)</f>
        <v>3000</v>
      </c>
      <c r="E25" s="3">
        <f>IF(A25="","",IF(A25='Savings Inputs'!$B$16,'Savings Inputs'!$B$9,0))</f>
        <v>0</v>
      </c>
      <c r="F25" s="3">
        <f t="shared" si="0"/>
        <v>107000</v>
      </c>
      <c r="G25" s="20">
        <f>IF(A25="","",F25/Dashboard!$B$7)</f>
        <v>0.71333333333333337</v>
      </c>
      <c r="H25" s="1">
        <f>IF(A25="","",IF(F25&gt;=Dashboard!$B$7,1,0))</f>
        <v>0</v>
      </c>
    </row>
    <row r="26" spans="1:8" ht="21" customHeight="1">
      <c r="A26" s="1">
        <f>IF('Savings Inputs'!$B$14,20,"")</f>
        <v>20</v>
      </c>
      <c r="B26" s="19">
        <f>IF(A26="","",DATE(YEAR('Savings Inputs'!$B$10),MONTH('Savings Inputs'!$B$10)+A26+1,0))</f>
        <v>46934</v>
      </c>
      <c r="C26" s="3">
        <f t="shared" si="1"/>
        <v>107000</v>
      </c>
      <c r="D26" s="3">
        <f>IF(A26="","",'Savings Inputs'!$B$8)</f>
        <v>3000</v>
      </c>
      <c r="E26" s="3">
        <f>IF(A26="","",IF(A26='Savings Inputs'!$B$16,'Savings Inputs'!$B$9,0))</f>
        <v>0</v>
      </c>
      <c r="F26" s="3">
        <f t="shared" si="0"/>
        <v>110000</v>
      </c>
      <c r="G26" s="20">
        <f>IF(A26="","",F26/Dashboard!$B$7)</f>
        <v>0.73333333333333328</v>
      </c>
      <c r="H26" s="1">
        <f>IF(A26="","",IF(F26&gt;=Dashboard!$B$7,1,0))</f>
        <v>0</v>
      </c>
    </row>
    <row r="27" spans="1:8" ht="21" customHeight="1">
      <c r="A27" s="1">
        <f>IF('Savings Inputs'!$B$14,21,"")</f>
        <v>21</v>
      </c>
      <c r="B27" s="19">
        <f>IF(A27="","",DATE(YEAR('Savings Inputs'!$B$10),MONTH('Savings Inputs'!$B$10)+A27+1,0))</f>
        <v>46965</v>
      </c>
      <c r="C27" s="3">
        <f t="shared" si="1"/>
        <v>110000</v>
      </c>
      <c r="D27" s="3">
        <f>IF(A27="","",'Savings Inputs'!$B$8)</f>
        <v>3000</v>
      </c>
      <c r="E27" s="3">
        <f>IF(A27="","",IF(A27='Savings Inputs'!$B$16,'Savings Inputs'!$B$9,0))</f>
        <v>0</v>
      </c>
      <c r="F27" s="3">
        <f t="shared" si="0"/>
        <v>113000</v>
      </c>
      <c r="G27" s="20">
        <f>IF(A27="","",F27/Dashboard!$B$7)</f>
        <v>0.7533333333333333</v>
      </c>
      <c r="H27" s="1">
        <f>IF(A27="","",IF(F27&gt;=Dashboard!$B$7,1,0))</f>
        <v>0</v>
      </c>
    </row>
    <row r="28" spans="1:8" ht="21" customHeight="1">
      <c r="A28" s="1">
        <f>IF('Savings Inputs'!$B$14,22,"")</f>
        <v>22</v>
      </c>
      <c r="B28" s="19">
        <f>IF(A28="","",DATE(YEAR('Savings Inputs'!$B$10),MONTH('Savings Inputs'!$B$10)+A28+1,0))</f>
        <v>46996</v>
      </c>
      <c r="C28" s="3">
        <f t="shared" si="1"/>
        <v>113000</v>
      </c>
      <c r="D28" s="3">
        <f>IF(A28="","",'Savings Inputs'!$B$8)</f>
        <v>3000</v>
      </c>
      <c r="E28" s="3">
        <f>IF(A28="","",IF(A28='Savings Inputs'!$B$16,'Savings Inputs'!$B$9,0))</f>
        <v>0</v>
      </c>
      <c r="F28" s="3">
        <f t="shared" si="0"/>
        <v>116000</v>
      </c>
      <c r="G28" s="20">
        <f>IF(A28="","",F28/Dashboard!$B$7)</f>
        <v>0.77333333333333332</v>
      </c>
      <c r="H28" s="1">
        <f>IF(A28="","",IF(F28&gt;=Dashboard!$B$7,1,0))</f>
        <v>0</v>
      </c>
    </row>
    <row r="29" spans="1:8" ht="21" customHeight="1">
      <c r="A29" s="1">
        <f>IF('Savings Inputs'!$B$14,23,"")</f>
        <v>23</v>
      </c>
      <c r="B29" s="19">
        <f>IF(A29="","",DATE(YEAR('Savings Inputs'!$B$10),MONTH('Savings Inputs'!$B$10)+A29+1,0))</f>
        <v>47026</v>
      </c>
      <c r="C29" s="3">
        <f t="shared" si="1"/>
        <v>116000</v>
      </c>
      <c r="D29" s="3">
        <f>IF(A29="","",'Savings Inputs'!$B$8)</f>
        <v>3000</v>
      </c>
      <c r="E29" s="3">
        <f>IF(A29="","",IF(A29='Savings Inputs'!$B$16,'Savings Inputs'!$B$9,0))</f>
        <v>0</v>
      </c>
      <c r="F29" s="3">
        <f t="shared" si="0"/>
        <v>119000</v>
      </c>
      <c r="G29" s="20">
        <f>IF(A29="","",F29/Dashboard!$B$7)</f>
        <v>0.79333333333333333</v>
      </c>
      <c r="H29" s="1">
        <f>IF(A29="","",IF(F29&gt;=Dashboard!$B$7,1,0))</f>
        <v>0</v>
      </c>
    </row>
    <row r="30" spans="1:8" ht="21" customHeight="1">
      <c r="A30" s="1">
        <f>IF('Savings Inputs'!$B$14,24,"")</f>
        <v>24</v>
      </c>
      <c r="B30" s="19">
        <f>IF(A30="","",DATE(YEAR('Savings Inputs'!$B$10),MONTH('Savings Inputs'!$B$10)+A30+1,0))</f>
        <v>47057</v>
      </c>
      <c r="C30" s="3">
        <f t="shared" si="1"/>
        <v>119000</v>
      </c>
      <c r="D30" s="3">
        <f>IF(A30="","",'Savings Inputs'!$B$8)</f>
        <v>3000</v>
      </c>
      <c r="E30" s="3">
        <f>IF(A30="","",IF(A30='Savings Inputs'!$B$16,'Savings Inputs'!$B$9,0))</f>
        <v>0</v>
      </c>
      <c r="F30" s="3">
        <f t="shared" si="0"/>
        <v>122000</v>
      </c>
      <c r="G30" s="20">
        <f>IF(A30="","",F30/Dashboard!$B$7)</f>
        <v>0.81333333333333335</v>
      </c>
      <c r="H30" s="1">
        <f>IF(A30="","",IF(F30&gt;=Dashboard!$B$7,1,0))</f>
        <v>0</v>
      </c>
    </row>
    <row r="31" spans="1:8" ht="21" customHeight="1">
      <c r="A31" s="1">
        <f>IF('Savings Inputs'!$B$14,25,"")</f>
        <v>25</v>
      </c>
      <c r="B31" s="19">
        <f>IF(A31="","",DATE(YEAR('Savings Inputs'!$B$10),MONTH('Savings Inputs'!$B$10)+A31+1,0))</f>
        <v>47087</v>
      </c>
      <c r="C31" s="3">
        <f t="shared" si="1"/>
        <v>122000</v>
      </c>
      <c r="D31" s="3">
        <f>IF(A31="","",'Savings Inputs'!$B$8)</f>
        <v>3000</v>
      </c>
      <c r="E31" s="3">
        <f>IF(A31="","",IF(A31='Savings Inputs'!$B$16,'Savings Inputs'!$B$9,0))</f>
        <v>0</v>
      </c>
      <c r="F31" s="3">
        <f t="shared" si="0"/>
        <v>125000</v>
      </c>
      <c r="G31" s="20">
        <f>IF(A31="","",F31/Dashboard!$B$7)</f>
        <v>0.83333333333333337</v>
      </c>
      <c r="H31" s="1">
        <f>IF(A31="","",IF(F31&gt;=Dashboard!$B$7,1,0))</f>
        <v>0</v>
      </c>
    </row>
    <row r="32" spans="1:8" ht="21" customHeight="1">
      <c r="A32" s="1">
        <f>IF('Savings Inputs'!$B$14,26,"")</f>
        <v>26</v>
      </c>
      <c r="B32" s="19">
        <f>IF(A32="","",DATE(YEAR('Savings Inputs'!$B$10),MONTH('Savings Inputs'!$B$10)+A32+1,0))</f>
        <v>47118</v>
      </c>
      <c r="C32" s="3">
        <f t="shared" si="1"/>
        <v>125000</v>
      </c>
      <c r="D32" s="3">
        <f>IF(A32="","",'Savings Inputs'!$B$8)</f>
        <v>3000</v>
      </c>
      <c r="E32" s="3">
        <f>IF(A32="","",IF(A32='Savings Inputs'!$B$16,'Savings Inputs'!$B$9,0))</f>
        <v>0</v>
      </c>
      <c r="F32" s="3">
        <f t="shared" si="0"/>
        <v>128000</v>
      </c>
      <c r="G32" s="20">
        <f>IF(A32="","",F32/Dashboard!$B$7)</f>
        <v>0.85333333333333339</v>
      </c>
      <c r="H32" s="1">
        <f>IF(A32="","",IF(F32&gt;=Dashboard!$B$7,1,0))</f>
        <v>0</v>
      </c>
    </row>
    <row r="33" spans="1:8" ht="21" customHeight="1">
      <c r="A33" s="1">
        <f>IF('Savings Inputs'!$B$14,27,"")</f>
        <v>27</v>
      </c>
      <c r="B33" s="19">
        <f>IF(A33="","",DATE(YEAR('Savings Inputs'!$B$10),MONTH('Savings Inputs'!$B$10)+A33+1,0))</f>
        <v>47149</v>
      </c>
      <c r="C33" s="3">
        <f t="shared" si="1"/>
        <v>128000</v>
      </c>
      <c r="D33" s="3">
        <f>IF(A33="","",'Savings Inputs'!$B$8)</f>
        <v>3000</v>
      </c>
      <c r="E33" s="3">
        <f>IF(A33="","",IF(A33='Savings Inputs'!$B$16,'Savings Inputs'!$B$9,0))</f>
        <v>0</v>
      </c>
      <c r="F33" s="3">
        <f t="shared" si="0"/>
        <v>131000</v>
      </c>
      <c r="G33" s="20">
        <f>IF(A33="","",F33/Dashboard!$B$7)</f>
        <v>0.87333333333333329</v>
      </c>
      <c r="H33" s="1">
        <f>IF(A33="","",IF(F33&gt;=Dashboard!$B$7,1,0))</f>
        <v>0</v>
      </c>
    </row>
    <row r="34" spans="1:8" ht="21" customHeight="1">
      <c r="A34" s="1">
        <f>IF('Savings Inputs'!$B$14,28,"")</f>
        <v>28</v>
      </c>
      <c r="B34" s="19">
        <f>IF(A34="","",DATE(YEAR('Savings Inputs'!$B$10),MONTH('Savings Inputs'!$B$10)+A34+1,0))</f>
        <v>47177</v>
      </c>
      <c r="C34" s="3">
        <f t="shared" si="1"/>
        <v>131000</v>
      </c>
      <c r="D34" s="3">
        <f>IF(A34="","",'Savings Inputs'!$B$8)</f>
        <v>3000</v>
      </c>
      <c r="E34" s="3">
        <f>IF(A34="","",IF(A34='Savings Inputs'!$B$16,'Savings Inputs'!$B$9,0))</f>
        <v>0</v>
      </c>
      <c r="F34" s="3">
        <f t="shared" si="0"/>
        <v>134000</v>
      </c>
      <c r="G34" s="20">
        <f>IF(A34="","",F34/Dashboard!$B$7)</f>
        <v>0.89333333333333331</v>
      </c>
      <c r="H34" s="1">
        <f>IF(A34="","",IF(F34&gt;=Dashboard!$B$7,1,0))</f>
        <v>0</v>
      </c>
    </row>
    <row r="35" spans="1:8" ht="21" customHeight="1">
      <c r="A35" s="1">
        <f>IF('Savings Inputs'!$B$14,29,"")</f>
        <v>29</v>
      </c>
      <c r="B35" s="19">
        <f>IF(A35="","",DATE(YEAR('Savings Inputs'!$B$10),MONTH('Savings Inputs'!$B$10)+A35+1,0))</f>
        <v>47208</v>
      </c>
      <c r="C35" s="3">
        <f t="shared" si="1"/>
        <v>134000</v>
      </c>
      <c r="D35" s="3">
        <f>IF(A35="","",'Savings Inputs'!$B$8)</f>
        <v>3000</v>
      </c>
      <c r="E35" s="3">
        <f>IF(A35="","",IF(A35='Savings Inputs'!$B$16,'Savings Inputs'!$B$9,0))</f>
        <v>0</v>
      </c>
      <c r="F35" s="3">
        <f t="shared" si="0"/>
        <v>137000</v>
      </c>
      <c r="G35" s="20">
        <f>IF(A35="","",F35/Dashboard!$B$7)</f>
        <v>0.91333333333333333</v>
      </c>
      <c r="H35" s="1">
        <f>IF(A35="","",IF(F35&gt;=Dashboard!$B$7,1,0))</f>
        <v>0</v>
      </c>
    </row>
    <row r="36" spans="1:8" ht="21" customHeight="1">
      <c r="A36" s="1">
        <f>IF('Savings Inputs'!$B$14,30,"")</f>
        <v>30</v>
      </c>
      <c r="B36" s="19">
        <f>IF(A36="","",DATE(YEAR('Savings Inputs'!$B$10),MONTH('Savings Inputs'!$B$10)+A36+1,0))</f>
        <v>47238</v>
      </c>
      <c r="C36" s="3">
        <f t="shared" si="1"/>
        <v>137000</v>
      </c>
      <c r="D36" s="3">
        <f>IF(A36="","",'Savings Inputs'!$B$8)</f>
        <v>3000</v>
      </c>
      <c r="E36" s="3">
        <f>IF(A36="","",IF(A36='Savings Inputs'!$B$16,'Savings Inputs'!$B$9,0))</f>
        <v>0</v>
      </c>
      <c r="F36" s="3">
        <f t="shared" si="0"/>
        <v>140000</v>
      </c>
      <c r="G36" s="20">
        <f>IF(A36="","",F36/Dashboard!$B$7)</f>
        <v>0.93333333333333335</v>
      </c>
      <c r="H36" s="1">
        <f>IF(A36="","",IF(F36&gt;=Dashboard!$B$7,1,0))</f>
        <v>0</v>
      </c>
    </row>
    <row r="37" spans="1:8" ht="21" customHeight="1">
      <c r="A37" s="1">
        <f>IF('Savings Inputs'!$B$14,31,"")</f>
        <v>31</v>
      </c>
      <c r="B37" s="19">
        <f>IF(A37="","",DATE(YEAR('Savings Inputs'!$B$10),MONTH('Savings Inputs'!$B$10)+A37+1,0))</f>
        <v>47269</v>
      </c>
      <c r="C37" s="3">
        <f t="shared" si="1"/>
        <v>140000</v>
      </c>
      <c r="D37" s="3">
        <f>IF(A37="","",'Savings Inputs'!$B$8)</f>
        <v>3000</v>
      </c>
      <c r="E37" s="3">
        <f>IF(A37="","",IF(A37='Savings Inputs'!$B$16,'Savings Inputs'!$B$9,0))</f>
        <v>0</v>
      </c>
      <c r="F37" s="3">
        <f t="shared" si="0"/>
        <v>143000</v>
      </c>
      <c r="G37" s="20">
        <f>IF(A37="","",F37/Dashboard!$B$7)</f>
        <v>0.95333333333333337</v>
      </c>
      <c r="H37" s="1">
        <f>IF(A37="","",IF(F37&gt;=Dashboard!$B$7,1,0))</f>
        <v>0</v>
      </c>
    </row>
    <row r="38" spans="1:8" ht="21" customHeight="1">
      <c r="A38" s="1">
        <f>IF('Savings Inputs'!$B$14,32,"")</f>
        <v>32</v>
      </c>
      <c r="B38" s="19">
        <f>IF(A38="","",DATE(YEAR('Savings Inputs'!$B$10),MONTH('Savings Inputs'!$B$10)+A38+1,0))</f>
        <v>47299</v>
      </c>
      <c r="C38" s="3">
        <f t="shared" si="1"/>
        <v>143000</v>
      </c>
      <c r="D38" s="3">
        <f>IF(A38="","",'Savings Inputs'!$B$8)</f>
        <v>3000</v>
      </c>
      <c r="E38" s="3">
        <f>IF(A38="","",IF(A38='Savings Inputs'!$B$16,'Savings Inputs'!$B$9,0))</f>
        <v>0</v>
      </c>
      <c r="F38" s="3">
        <f t="shared" si="0"/>
        <v>146000</v>
      </c>
      <c r="G38" s="20">
        <f>IF(A38="","",F38/Dashboard!$B$7)</f>
        <v>0.97333333333333338</v>
      </c>
      <c r="H38" s="1">
        <f>IF(A38="","",IF(F38&gt;=Dashboard!$B$7,1,0))</f>
        <v>0</v>
      </c>
    </row>
    <row r="39" spans="1:8" ht="21" customHeight="1">
      <c r="A39" s="1">
        <f>IF('Savings Inputs'!$B$14,33,"")</f>
        <v>33</v>
      </c>
      <c r="B39" s="19">
        <f>IF(A39="","",DATE(YEAR('Savings Inputs'!$B$10),MONTH('Savings Inputs'!$B$10)+A39+1,0))</f>
        <v>47330</v>
      </c>
      <c r="C39" s="3">
        <f t="shared" si="1"/>
        <v>146000</v>
      </c>
      <c r="D39" s="3">
        <f>IF(A39="","",'Savings Inputs'!$B$8)</f>
        <v>3000</v>
      </c>
      <c r="E39" s="3">
        <f>IF(A39="","",IF(A39='Savings Inputs'!$B$16,'Savings Inputs'!$B$9,0))</f>
        <v>0</v>
      </c>
      <c r="F39" s="3">
        <f t="shared" si="0"/>
        <v>149000</v>
      </c>
      <c r="G39" s="20">
        <f>IF(A39="","",F39/Dashboard!$B$7)</f>
        <v>0.99333333333333329</v>
      </c>
      <c r="H39" s="1">
        <f>IF(A39="","",IF(F39&gt;=Dashboard!$B$7,1,0))</f>
        <v>0</v>
      </c>
    </row>
    <row r="40" spans="1:8" ht="21" customHeight="1">
      <c r="A40" s="1">
        <f>IF('Savings Inputs'!$B$14,34,"")</f>
        <v>34</v>
      </c>
      <c r="B40" s="19">
        <f>IF(A40="","",DATE(YEAR('Savings Inputs'!$B$10),MONTH('Savings Inputs'!$B$10)+A40+1,0))</f>
        <v>47361</v>
      </c>
      <c r="C40" s="3">
        <f t="shared" si="1"/>
        <v>149000</v>
      </c>
      <c r="D40" s="3">
        <f>IF(A40="","",'Savings Inputs'!$B$8)</f>
        <v>3000</v>
      </c>
      <c r="E40" s="3">
        <f>IF(A40="","",IF(A40='Savings Inputs'!$B$16,'Savings Inputs'!$B$9,0))</f>
        <v>0</v>
      </c>
      <c r="F40" s="3">
        <f t="shared" si="0"/>
        <v>152000</v>
      </c>
      <c r="G40" s="20">
        <f>IF(A40="","",F40/Dashboard!$B$7)</f>
        <v>1.0133333333333334</v>
      </c>
      <c r="H40" s="1">
        <f>IF(A40="","",IF(F40&gt;=Dashboard!$B$7,1,0))</f>
        <v>1</v>
      </c>
    </row>
    <row r="41" spans="1:8" ht="21" customHeight="1">
      <c r="A41" s="1">
        <f>IF('Savings Inputs'!$B$14,35,"")</f>
        <v>35</v>
      </c>
      <c r="B41" s="19">
        <f>IF(A41="","",DATE(YEAR('Savings Inputs'!$B$10),MONTH('Savings Inputs'!$B$10)+A41+1,0))</f>
        <v>47391</v>
      </c>
      <c r="C41" s="3">
        <f t="shared" si="1"/>
        <v>152000</v>
      </c>
      <c r="D41" s="3">
        <f>IF(A41="","",'Savings Inputs'!$B$8)</f>
        <v>3000</v>
      </c>
      <c r="E41" s="3">
        <f>IF(A41="","",IF(A41='Savings Inputs'!$B$16,'Savings Inputs'!$B$9,0))</f>
        <v>0</v>
      </c>
      <c r="F41" s="3">
        <f t="shared" si="0"/>
        <v>155000</v>
      </c>
      <c r="G41" s="20">
        <f>IF(A41="","",F41/Dashboard!$B$7)</f>
        <v>1.0333333333333334</v>
      </c>
      <c r="H41" s="1">
        <f>IF(A41="","",IF(F41&gt;=Dashboard!$B$7,1,0))</f>
        <v>1</v>
      </c>
    </row>
    <row r="42" spans="1:8" ht="21" customHeight="1">
      <c r="A42" s="1">
        <f>IF('Savings Inputs'!$B$14,36,"")</f>
        <v>36</v>
      </c>
      <c r="B42" s="19">
        <f>IF(A42="","",DATE(YEAR('Savings Inputs'!$B$10),MONTH('Savings Inputs'!$B$10)+A42+1,0))</f>
        <v>47422</v>
      </c>
      <c r="C42" s="3">
        <f t="shared" si="1"/>
        <v>155000</v>
      </c>
      <c r="D42" s="3">
        <f>IF(A42="","",'Savings Inputs'!$B$8)</f>
        <v>3000</v>
      </c>
      <c r="E42" s="3">
        <f>IF(A42="","",IF(A42='Savings Inputs'!$B$16,'Savings Inputs'!$B$9,0))</f>
        <v>0</v>
      </c>
      <c r="F42" s="3">
        <f t="shared" si="0"/>
        <v>158000</v>
      </c>
      <c r="G42" s="20">
        <f>IF(A42="","",F42/Dashboard!$B$7)</f>
        <v>1.0533333333333332</v>
      </c>
      <c r="H42" s="1">
        <f>IF(A42="","",IF(F42&gt;=Dashboard!$B$7,1,0))</f>
        <v>1</v>
      </c>
    </row>
    <row r="43" spans="1:8" ht="21" customHeight="1">
      <c r="A43" s="1">
        <f>IF('Savings Inputs'!$B$14,37,"")</f>
        <v>37</v>
      </c>
      <c r="B43" s="19">
        <f>IF(A43="","",DATE(YEAR('Savings Inputs'!$B$10),MONTH('Savings Inputs'!$B$10)+A43+1,0))</f>
        <v>47452</v>
      </c>
      <c r="C43" s="3">
        <f t="shared" si="1"/>
        <v>158000</v>
      </c>
      <c r="D43" s="3">
        <f>IF(A43="","",'Savings Inputs'!$B$8)</f>
        <v>3000</v>
      </c>
      <c r="E43" s="3">
        <f>IF(A43="","",IF(A43='Savings Inputs'!$B$16,'Savings Inputs'!$B$9,0))</f>
        <v>0</v>
      </c>
      <c r="F43" s="3">
        <f t="shared" si="0"/>
        <v>161000</v>
      </c>
      <c r="G43" s="20">
        <f>IF(A43="","",F43/Dashboard!$B$7)</f>
        <v>1.0733333333333333</v>
      </c>
      <c r="H43" s="1">
        <f>IF(A43="","",IF(F43&gt;=Dashboard!$B$7,1,0))</f>
        <v>1</v>
      </c>
    </row>
    <row r="44" spans="1:8" ht="21" customHeight="1">
      <c r="A44" s="1">
        <f>IF('Savings Inputs'!$B$14,38,"")</f>
        <v>38</v>
      </c>
      <c r="B44" s="19">
        <f>IF(A44="","",DATE(YEAR('Savings Inputs'!$B$10),MONTH('Savings Inputs'!$B$10)+A44+1,0))</f>
        <v>47483</v>
      </c>
      <c r="C44" s="3">
        <f t="shared" si="1"/>
        <v>161000</v>
      </c>
      <c r="D44" s="3">
        <f>IF(A44="","",'Savings Inputs'!$B$8)</f>
        <v>3000</v>
      </c>
      <c r="E44" s="3">
        <f>IF(A44="","",IF(A44='Savings Inputs'!$B$16,'Savings Inputs'!$B$9,0))</f>
        <v>0</v>
      </c>
      <c r="F44" s="3">
        <f t="shared" si="0"/>
        <v>164000</v>
      </c>
      <c r="G44" s="20">
        <f>IF(A44="","",F44/Dashboard!$B$7)</f>
        <v>1.0933333333333333</v>
      </c>
      <c r="H44" s="1">
        <f>IF(A44="","",IF(F44&gt;=Dashboard!$B$7,1,0))</f>
        <v>1</v>
      </c>
    </row>
    <row r="45" spans="1:8" ht="21" customHeight="1">
      <c r="A45" s="1">
        <f>IF('Savings Inputs'!$B$14,39,"")</f>
        <v>39</v>
      </c>
      <c r="B45" s="19">
        <f>IF(A45="","",DATE(YEAR('Savings Inputs'!$B$10),MONTH('Savings Inputs'!$B$10)+A45+1,0))</f>
        <v>47514</v>
      </c>
      <c r="C45" s="3">
        <f t="shared" si="1"/>
        <v>164000</v>
      </c>
      <c r="D45" s="3">
        <f>IF(A45="","",'Savings Inputs'!$B$8)</f>
        <v>3000</v>
      </c>
      <c r="E45" s="3">
        <f>IF(A45="","",IF(A45='Savings Inputs'!$B$16,'Savings Inputs'!$B$9,0))</f>
        <v>0</v>
      </c>
      <c r="F45" s="3">
        <f t="shared" si="0"/>
        <v>167000</v>
      </c>
      <c r="G45" s="20">
        <f>IF(A45="","",F45/Dashboard!$B$7)</f>
        <v>1.1133333333333333</v>
      </c>
      <c r="H45" s="1">
        <f>IF(A45="","",IF(F45&gt;=Dashboard!$B$7,1,0))</f>
        <v>1</v>
      </c>
    </row>
    <row r="46" spans="1:8" ht="21" customHeight="1">
      <c r="A46" s="1">
        <f>IF('Savings Inputs'!$B$14,40,"")</f>
        <v>40</v>
      </c>
      <c r="B46" s="19">
        <f>IF(A46="","",DATE(YEAR('Savings Inputs'!$B$10),MONTH('Savings Inputs'!$B$10)+A46+1,0))</f>
        <v>47542</v>
      </c>
      <c r="C46" s="3">
        <f t="shared" si="1"/>
        <v>167000</v>
      </c>
      <c r="D46" s="3">
        <f>IF(A46="","",'Savings Inputs'!$B$8)</f>
        <v>3000</v>
      </c>
      <c r="E46" s="3">
        <f>IF(A46="","",IF(A46='Savings Inputs'!$B$16,'Savings Inputs'!$B$9,0))</f>
        <v>0</v>
      </c>
      <c r="F46" s="3">
        <f t="shared" si="0"/>
        <v>170000</v>
      </c>
      <c r="G46" s="20">
        <f>IF(A46="","",F46/Dashboard!$B$7)</f>
        <v>1.1333333333333333</v>
      </c>
      <c r="H46" s="1">
        <f>IF(A46="","",IF(F46&gt;=Dashboard!$B$7,1,0))</f>
        <v>1</v>
      </c>
    </row>
    <row r="47" spans="1:8" ht="21" customHeight="1">
      <c r="A47" s="1">
        <f>IF('Savings Inputs'!$B$14,41,"")</f>
        <v>41</v>
      </c>
      <c r="B47" s="19">
        <f>IF(A47="","",DATE(YEAR('Savings Inputs'!$B$10),MONTH('Savings Inputs'!$B$10)+A47+1,0))</f>
        <v>47573</v>
      </c>
      <c r="C47" s="3">
        <f t="shared" si="1"/>
        <v>170000</v>
      </c>
      <c r="D47" s="3">
        <f>IF(A47="","",'Savings Inputs'!$B$8)</f>
        <v>3000</v>
      </c>
      <c r="E47" s="3">
        <f>IF(A47="","",IF(A47='Savings Inputs'!$B$16,'Savings Inputs'!$B$9,0))</f>
        <v>0</v>
      </c>
      <c r="F47" s="3">
        <f t="shared" si="0"/>
        <v>173000</v>
      </c>
      <c r="G47" s="20">
        <f>IF(A47="","",F47/Dashboard!$B$7)</f>
        <v>1.1533333333333333</v>
      </c>
      <c r="H47" s="1">
        <f>IF(A47="","",IF(F47&gt;=Dashboard!$B$7,1,0))</f>
        <v>1</v>
      </c>
    </row>
    <row r="48" spans="1:8" ht="21" customHeight="1">
      <c r="A48" s="1">
        <f>IF('Savings Inputs'!$B$14,42,"")</f>
        <v>42</v>
      </c>
      <c r="B48" s="19">
        <f>IF(A48="","",DATE(YEAR('Savings Inputs'!$B$10),MONTH('Savings Inputs'!$B$10)+A48+1,0))</f>
        <v>47603</v>
      </c>
      <c r="C48" s="3">
        <f t="shared" si="1"/>
        <v>173000</v>
      </c>
      <c r="D48" s="3">
        <f>IF(A48="","",'Savings Inputs'!$B$8)</f>
        <v>3000</v>
      </c>
      <c r="E48" s="3">
        <f>IF(A48="","",IF(A48='Savings Inputs'!$B$16,'Savings Inputs'!$B$9,0))</f>
        <v>0</v>
      </c>
      <c r="F48" s="3">
        <f t="shared" si="0"/>
        <v>176000</v>
      </c>
      <c r="G48" s="20">
        <f>IF(A48="","",F48/Dashboard!$B$7)</f>
        <v>1.1733333333333333</v>
      </c>
      <c r="H48" s="1">
        <f>IF(A48="","",IF(F48&gt;=Dashboard!$B$7,1,0))</f>
        <v>1</v>
      </c>
    </row>
    <row r="49" spans="1:8" ht="21" customHeight="1">
      <c r="A49" s="1">
        <f>IF('Savings Inputs'!$B$14,43,"")</f>
        <v>43</v>
      </c>
      <c r="B49" s="19">
        <f>IF(A49="","",DATE(YEAR('Savings Inputs'!$B$10),MONTH('Savings Inputs'!$B$10)+A49+1,0))</f>
        <v>47634</v>
      </c>
      <c r="C49" s="3">
        <f t="shared" si="1"/>
        <v>176000</v>
      </c>
      <c r="D49" s="3">
        <f>IF(A49="","",'Savings Inputs'!$B$8)</f>
        <v>3000</v>
      </c>
      <c r="E49" s="3">
        <f>IF(A49="","",IF(A49='Savings Inputs'!$B$16,'Savings Inputs'!$B$9,0))</f>
        <v>0</v>
      </c>
      <c r="F49" s="3">
        <f t="shared" si="0"/>
        <v>179000</v>
      </c>
      <c r="G49" s="20">
        <f>IF(A49="","",F49/Dashboard!$B$7)</f>
        <v>1.1933333333333334</v>
      </c>
      <c r="H49" s="1">
        <f>IF(A49="","",IF(F49&gt;=Dashboard!$B$7,1,0))</f>
        <v>1</v>
      </c>
    </row>
    <row r="50" spans="1:8" ht="21" customHeight="1">
      <c r="A50" s="1">
        <f>IF('Savings Inputs'!$B$14,44,"")</f>
        <v>44</v>
      </c>
      <c r="B50" s="19">
        <f>IF(A50="","",DATE(YEAR('Savings Inputs'!$B$10),MONTH('Savings Inputs'!$B$10)+A50+1,0))</f>
        <v>47664</v>
      </c>
      <c r="C50" s="3">
        <f t="shared" si="1"/>
        <v>179000</v>
      </c>
      <c r="D50" s="3">
        <f>IF(A50="","",'Savings Inputs'!$B$8)</f>
        <v>3000</v>
      </c>
      <c r="E50" s="3">
        <f>IF(A50="","",IF(A50='Savings Inputs'!$B$16,'Savings Inputs'!$B$9,0))</f>
        <v>0</v>
      </c>
      <c r="F50" s="3">
        <f t="shared" si="0"/>
        <v>182000</v>
      </c>
      <c r="G50" s="20">
        <f>IF(A50="","",F50/Dashboard!$B$7)</f>
        <v>1.2133333333333334</v>
      </c>
      <c r="H50" s="1">
        <f>IF(A50="","",IF(F50&gt;=Dashboard!$B$7,1,0))</f>
        <v>1</v>
      </c>
    </row>
    <row r="51" spans="1:8" ht="21" customHeight="1">
      <c r="A51" s="1">
        <f>IF('Savings Inputs'!$B$14,45,"")</f>
        <v>45</v>
      </c>
      <c r="B51" s="19">
        <f>IF(A51="","",DATE(YEAR('Savings Inputs'!$B$10),MONTH('Savings Inputs'!$B$10)+A51+1,0))</f>
        <v>47695</v>
      </c>
      <c r="C51" s="3">
        <f t="shared" si="1"/>
        <v>182000</v>
      </c>
      <c r="D51" s="3">
        <f>IF(A51="","",'Savings Inputs'!$B$8)</f>
        <v>3000</v>
      </c>
      <c r="E51" s="3">
        <f>IF(A51="","",IF(A51='Savings Inputs'!$B$16,'Savings Inputs'!$B$9,0))</f>
        <v>0</v>
      </c>
      <c r="F51" s="3">
        <f t="shared" si="0"/>
        <v>185000</v>
      </c>
      <c r="G51" s="20">
        <f>IF(A51="","",F51/Dashboard!$B$7)</f>
        <v>1.2333333333333334</v>
      </c>
      <c r="H51" s="1">
        <f>IF(A51="","",IF(F51&gt;=Dashboard!$B$7,1,0))</f>
        <v>1</v>
      </c>
    </row>
    <row r="52" spans="1:8" ht="21" customHeight="1">
      <c r="A52" s="1">
        <f>IF('Savings Inputs'!$B$14,46,"")</f>
        <v>46</v>
      </c>
      <c r="B52" s="19">
        <f>IF(A52="","",DATE(YEAR('Savings Inputs'!$B$10),MONTH('Savings Inputs'!$B$10)+A52+1,0))</f>
        <v>47726</v>
      </c>
      <c r="C52" s="3">
        <f t="shared" si="1"/>
        <v>185000</v>
      </c>
      <c r="D52" s="3">
        <f>IF(A52="","",'Savings Inputs'!$B$8)</f>
        <v>3000</v>
      </c>
      <c r="E52" s="3">
        <f>IF(A52="","",IF(A52='Savings Inputs'!$B$16,'Savings Inputs'!$B$9,0))</f>
        <v>0</v>
      </c>
      <c r="F52" s="3">
        <f t="shared" si="0"/>
        <v>188000</v>
      </c>
      <c r="G52" s="20">
        <f>IF(A52="","",F52/Dashboard!$B$7)</f>
        <v>1.2533333333333334</v>
      </c>
      <c r="H52" s="1">
        <f>IF(A52="","",IF(F52&gt;=Dashboard!$B$7,1,0))</f>
        <v>1</v>
      </c>
    </row>
    <row r="53" spans="1:8" ht="21" customHeight="1">
      <c r="A53" s="1">
        <f>IF('Savings Inputs'!$B$14,47,"")</f>
        <v>47</v>
      </c>
      <c r="B53" s="19">
        <f>IF(A53="","",DATE(YEAR('Savings Inputs'!$B$10),MONTH('Savings Inputs'!$B$10)+A53+1,0))</f>
        <v>47756</v>
      </c>
      <c r="C53" s="3">
        <f t="shared" si="1"/>
        <v>188000</v>
      </c>
      <c r="D53" s="3">
        <f>IF(A53="","",'Savings Inputs'!$B$8)</f>
        <v>3000</v>
      </c>
      <c r="E53" s="3">
        <f>IF(A53="","",IF(A53='Savings Inputs'!$B$16,'Savings Inputs'!$B$9,0))</f>
        <v>0</v>
      </c>
      <c r="F53" s="3">
        <f t="shared" si="0"/>
        <v>191000</v>
      </c>
      <c r="G53" s="20">
        <f>IF(A53="","",F53/Dashboard!$B$7)</f>
        <v>1.2733333333333334</v>
      </c>
      <c r="H53" s="1">
        <f>IF(A53="","",IF(F53&gt;=Dashboard!$B$7,1,0))</f>
        <v>1</v>
      </c>
    </row>
    <row r="54" spans="1:8" ht="21" customHeight="1">
      <c r="A54" s="1">
        <f>IF('Savings Inputs'!$B$14,48,"")</f>
        <v>48</v>
      </c>
      <c r="B54" s="19">
        <f>IF(A54="","",DATE(YEAR('Savings Inputs'!$B$10),MONTH('Savings Inputs'!$B$10)+A54+1,0))</f>
        <v>47787</v>
      </c>
      <c r="C54" s="3">
        <f t="shared" si="1"/>
        <v>191000</v>
      </c>
      <c r="D54" s="3">
        <f>IF(A54="","",'Savings Inputs'!$B$8)</f>
        <v>3000</v>
      </c>
      <c r="E54" s="3">
        <f>IF(A54="","",IF(A54='Savings Inputs'!$B$16,'Savings Inputs'!$B$9,0))</f>
        <v>0</v>
      </c>
      <c r="F54" s="3">
        <f t="shared" si="0"/>
        <v>194000</v>
      </c>
      <c r="G54" s="20">
        <f>IF(A54="","",F54/Dashboard!$B$7)</f>
        <v>1.2933333333333332</v>
      </c>
      <c r="H54" s="1">
        <f>IF(A54="","",IF(F54&gt;=Dashboard!$B$7,1,0))</f>
        <v>1</v>
      </c>
    </row>
    <row r="55" spans="1:8" ht="21" customHeight="1">
      <c r="A55" s="1">
        <f>IF('Savings Inputs'!$B$14,49,"")</f>
        <v>49</v>
      </c>
      <c r="B55" s="19">
        <f>IF(A55="","",DATE(YEAR('Savings Inputs'!$B$10),MONTH('Savings Inputs'!$B$10)+A55+1,0))</f>
        <v>47817</v>
      </c>
      <c r="C55" s="3">
        <f t="shared" si="1"/>
        <v>194000</v>
      </c>
      <c r="D55" s="3">
        <f>IF(A55="","",'Savings Inputs'!$B$8)</f>
        <v>3000</v>
      </c>
      <c r="E55" s="3">
        <f>IF(A55="","",IF(A55='Savings Inputs'!$B$16,'Savings Inputs'!$B$9,0))</f>
        <v>0</v>
      </c>
      <c r="F55" s="3">
        <f t="shared" si="0"/>
        <v>197000</v>
      </c>
      <c r="G55" s="20">
        <f>IF(A55="","",F55/Dashboard!$B$7)</f>
        <v>1.3133333333333332</v>
      </c>
      <c r="H55" s="1">
        <f>IF(A55="","",IF(F55&gt;=Dashboard!$B$7,1,0))</f>
        <v>1</v>
      </c>
    </row>
    <row r="56" spans="1:8" ht="21" customHeight="1">
      <c r="A56" s="1">
        <f>IF('Savings Inputs'!$B$14,50,"")</f>
        <v>50</v>
      </c>
      <c r="B56" s="19">
        <f>IF(A56="","",DATE(YEAR('Savings Inputs'!$B$10),MONTH('Savings Inputs'!$B$10)+A56+1,0))</f>
        <v>47848</v>
      </c>
      <c r="C56" s="3">
        <f t="shared" si="1"/>
        <v>197000</v>
      </c>
      <c r="D56" s="3">
        <f>IF(A56="","",'Savings Inputs'!$B$8)</f>
        <v>3000</v>
      </c>
      <c r="E56" s="3">
        <f>IF(A56="","",IF(A56='Savings Inputs'!$B$16,'Savings Inputs'!$B$9,0))</f>
        <v>0</v>
      </c>
      <c r="F56" s="3">
        <f t="shared" si="0"/>
        <v>200000</v>
      </c>
      <c r="G56" s="20">
        <f>IF(A56="","",F56/Dashboard!$B$7)</f>
        <v>1.3333333333333333</v>
      </c>
      <c r="H56" s="1">
        <f>IF(A56="","",IF(F56&gt;=Dashboard!$B$7,1,0))</f>
        <v>1</v>
      </c>
    </row>
    <row r="57" spans="1:8" ht="21" customHeight="1">
      <c r="A57" s="1">
        <f>IF('Savings Inputs'!$B$14,51,"")</f>
        <v>51</v>
      </c>
      <c r="B57" s="19">
        <f>IF(A57="","",DATE(YEAR('Savings Inputs'!$B$10),MONTH('Savings Inputs'!$B$10)+A57+1,0))</f>
        <v>47879</v>
      </c>
      <c r="C57" s="3">
        <f t="shared" si="1"/>
        <v>200000</v>
      </c>
      <c r="D57" s="3">
        <f>IF(A57="","",'Savings Inputs'!$B$8)</f>
        <v>3000</v>
      </c>
      <c r="E57" s="3">
        <f>IF(A57="","",IF(A57='Savings Inputs'!$B$16,'Savings Inputs'!$B$9,0))</f>
        <v>0</v>
      </c>
      <c r="F57" s="3">
        <f t="shared" si="0"/>
        <v>203000</v>
      </c>
      <c r="G57" s="20">
        <f>IF(A57="","",F57/Dashboard!$B$7)</f>
        <v>1.3533333333333333</v>
      </c>
      <c r="H57" s="1">
        <f>IF(A57="","",IF(F57&gt;=Dashboard!$B$7,1,0))</f>
        <v>1</v>
      </c>
    </row>
    <row r="58" spans="1:8" ht="21" customHeight="1">
      <c r="A58" s="1">
        <f>IF('Savings Inputs'!$B$14,52,"")</f>
        <v>52</v>
      </c>
      <c r="B58" s="19">
        <f>IF(A58="","",DATE(YEAR('Savings Inputs'!$B$10),MONTH('Savings Inputs'!$B$10)+A58+1,0))</f>
        <v>47907</v>
      </c>
      <c r="C58" s="3">
        <f t="shared" si="1"/>
        <v>203000</v>
      </c>
      <c r="D58" s="3">
        <f>IF(A58="","",'Savings Inputs'!$B$8)</f>
        <v>3000</v>
      </c>
      <c r="E58" s="3">
        <f>IF(A58="","",IF(A58='Savings Inputs'!$B$16,'Savings Inputs'!$B$9,0))</f>
        <v>0</v>
      </c>
      <c r="F58" s="3">
        <f t="shared" si="0"/>
        <v>206000</v>
      </c>
      <c r="G58" s="20">
        <f>IF(A58="","",F58/Dashboard!$B$7)</f>
        <v>1.3733333333333333</v>
      </c>
      <c r="H58" s="1">
        <f>IF(A58="","",IF(F58&gt;=Dashboard!$B$7,1,0))</f>
        <v>1</v>
      </c>
    </row>
    <row r="59" spans="1:8" ht="21" customHeight="1">
      <c r="A59" s="1">
        <f>IF('Savings Inputs'!$B$14,53,"")</f>
        <v>53</v>
      </c>
      <c r="B59" s="19">
        <f>IF(A59="","",DATE(YEAR('Savings Inputs'!$B$10),MONTH('Savings Inputs'!$B$10)+A59+1,0))</f>
        <v>47938</v>
      </c>
      <c r="C59" s="3">
        <f t="shared" si="1"/>
        <v>206000</v>
      </c>
      <c r="D59" s="3">
        <f>IF(A59="","",'Savings Inputs'!$B$8)</f>
        <v>3000</v>
      </c>
      <c r="E59" s="3">
        <f>IF(A59="","",IF(A59='Savings Inputs'!$B$16,'Savings Inputs'!$B$9,0))</f>
        <v>0</v>
      </c>
      <c r="F59" s="3">
        <f t="shared" si="0"/>
        <v>209000</v>
      </c>
      <c r="G59" s="20">
        <f>IF(A59="","",F59/Dashboard!$B$7)</f>
        <v>1.3933333333333333</v>
      </c>
      <c r="H59" s="1">
        <f>IF(A59="","",IF(F59&gt;=Dashboard!$B$7,1,0))</f>
        <v>1</v>
      </c>
    </row>
    <row r="60" spans="1:8" ht="21" customHeight="1">
      <c r="A60" s="1">
        <f>IF('Savings Inputs'!$B$14,54,"")</f>
        <v>54</v>
      </c>
      <c r="B60" s="19">
        <f>IF(A60="","",DATE(YEAR('Savings Inputs'!$B$10),MONTH('Savings Inputs'!$B$10)+A60+1,0))</f>
        <v>47968</v>
      </c>
      <c r="C60" s="3">
        <f t="shared" si="1"/>
        <v>209000</v>
      </c>
      <c r="D60" s="3">
        <f>IF(A60="","",'Savings Inputs'!$B$8)</f>
        <v>3000</v>
      </c>
      <c r="E60" s="3">
        <f>IF(A60="","",IF(A60='Savings Inputs'!$B$16,'Savings Inputs'!$B$9,0))</f>
        <v>0</v>
      </c>
      <c r="F60" s="3">
        <f t="shared" si="0"/>
        <v>212000</v>
      </c>
      <c r="G60" s="20">
        <f>IF(A60="","",F60/Dashboard!$B$7)</f>
        <v>1.4133333333333333</v>
      </c>
      <c r="H60" s="1">
        <f>IF(A60="","",IF(F60&gt;=Dashboard!$B$7,1,0))</f>
        <v>1</v>
      </c>
    </row>
    <row r="61" spans="1:8" ht="21" customHeight="1">
      <c r="A61" s="1">
        <f>IF('Savings Inputs'!$B$14,55,"")</f>
        <v>55</v>
      </c>
      <c r="B61" s="19">
        <f>IF(A61="","",DATE(YEAR('Savings Inputs'!$B$10),MONTH('Savings Inputs'!$B$10)+A61+1,0))</f>
        <v>47999</v>
      </c>
      <c r="C61" s="3">
        <f t="shared" si="1"/>
        <v>212000</v>
      </c>
      <c r="D61" s="3">
        <f>IF(A61="","",'Savings Inputs'!$B$8)</f>
        <v>3000</v>
      </c>
      <c r="E61" s="3">
        <f>IF(A61="","",IF(A61='Savings Inputs'!$B$16,'Savings Inputs'!$B$9,0))</f>
        <v>0</v>
      </c>
      <c r="F61" s="3">
        <f t="shared" si="0"/>
        <v>215000</v>
      </c>
      <c r="G61" s="20">
        <f>IF(A61="","",F61/Dashboard!$B$7)</f>
        <v>1.4333333333333333</v>
      </c>
      <c r="H61" s="1">
        <f>IF(A61="","",IF(F61&gt;=Dashboard!$B$7,1,0))</f>
        <v>1</v>
      </c>
    </row>
    <row r="62" spans="1:8" ht="21" customHeight="1">
      <c r="A62" s="1">
        <f>IF('Savings Inputs'!$B$14,56,"")</f>
        <v>56</v>
      </c>
      <c r="B62" s="19">
        <f>IF(A62="","",DATE(YEAR('Savings Inputs'!$B$10),MONTH('Savings Inputs'!$B$10)+A62+1,0))</f>
        <v>48029</v>
      </c>
      <c r="C62" s="3">
        <f t="shared" si="1"/>
        <v>215000</v>
      </c>
      <c r="D62" s="3">
        <f>IF(A62="","",'Savings Inputs'!$B$8)</f>
        <v>3000</v>
      </c>
      <c r="E62" s="3">
        <f>IF(A62="","",IF(A62='Savings Inputs'!$B$16,'Savings Inputs'!$B$9,0))</f>
        <v>0</v>
      </c>
      <c r="F62" s="3">
        <f t="shared" si="0"/>
        <v>218000</v>
      </c>
      <c r="G62" s="20">
        <f>IF(A62="","",F62/Dashboard!$B$7)</f>
        <v>1.4533333333333334</v>
      </c>
      <c r="H62" s="1">
        <f>IF(A62="","",IF(F62&gt;=Dashboard!$B$7,1,0))</f>
        <v>1</v>
      </c>
    </row>
    <row r="63" spans="1:8" ht="21" customHeight="1">
      <c r="A63" s="1">
        <f>IF('Savings Inputs'!$B$14,57,"")</f>
        <v>57</v>
      </c>
      <c r="B63" s="19">
        <f>IF(A63="","",DATE(YEAR('Savings Inputs'!$B$10),MONTH('Savings Inputs'!$B$10)+A63+1,0))</f>
        <v>48060</v>
      </c>
      <c r="C63" s="3">
        <f t="shared" si="1"/>
        <v>218000</v>
      </c>
      <c r="D63" s="3">
        <f>IF(A63="","",'Savings Inputs'!$B$8)</f>
        <v>3000</v>
      </c>
      <c r="E63" s="3">
        <f>IF(A63="","",IF(A63='Savings Inputs'!$B$16,'Savings Inputs'!$B$9,0))</f>
        <v>0</v>
      </c>
      <c r="F63" s="3">
        <f t="shared" si="0"/>
        <v>221000</v>
      </c>
      <c r="G63" s="20">
        <f>IF(A63="","",F63/Dashboard!$B$7)</f>
        <v>1.4733333333333334</v>
      </c>
      <c r="H63" s="1">
        <f>IF(A63="","",IF(F63&gt;=Dashboard!$B$7,1,0))</f>
        <v>1</v>
      </c>
    </row>
    <row r="64" spans="1:8" ht="21" customHeight="1">
      <c r="A64" s="1">
        <f>IF('Savings Inputs'!$B$14,58,"")</f>
        <v>58</v>
      </c>
      <c r="B64" s="19">
        <f>IF(A64="","",DATE(YEAR('Savings Inputs'!$B$10),MONTH('Savings Inputs'!$B$10)+A64+1,0))</f>
        <v>48091</v>
      </c>
      <c r="C64" s="3">
        <f t="shared" si="1"/>
        <v>221000</v>
      </c>
      <c r="D64" s="3">
        <f>IF(A64="","",'Savings Inputs'!$B$8)</f>
        <v>3000</v>
      </c>
      <c r="E64" s="3">
        <f>IF(A64="","",IF(A64='Savings Inputs'!$B$16,'Savings Inputs'!$B$9,0))</f>
        <v>0</v>
      </c>
      <c r="F64" s="3">
        <f t="shared" si="0"/>
        <v>224000</v>
      </c>
      <c r="G64" s="20">
        <f>IF(A64="","",F64/Dashboard!$B$7)</f>
        <v>1.4933333333333334</v>
      </c>
      <c r="H64" s="1">
        <f>IF(A64="","",IF(F64&gt;=Dashboard!$B$7,1,0))</f>
        <v>1</v>
      </c>
    </row>
    <row r="65" spans="1:8" ht="21" customHeight="1">
      <c r="A65" s="1">
        <f>IF('Savings Inputs'!$B$14,59,"")</f>
        <v>59</v>
      </c>
      <c r="B65" s="19">
        <f>IF(A65="","",DATE(YEAR('Savings Inputs'!$B$10),MONTH('Savings Inputs'!$B$10)+A65+1,0))</f>
        <v>48121</v>
      </c>
      <c r="C65" s="3">
        <f t="shared" si="1"/>
        <v>224000</v>
      </c>
      <c r="D65" s="3">
        <f>IF(A65="","",'Savings Inputs'!$B$8)</f>
        <v>3000</v>
      </c>
      <c r="E65" s="3">
        <f>IF(A65="","",IF(A65='Savings Inputs'!$B$16,'Savings Inputs'!$B$9,0))</f>
        <v>0</v>
      </c>
      <c r="F65" s="3">
        <f t="shared" si="0"/>
        <v>227000</v>
      </c>
      <c r="G65" s="20">
        <f>IF(A65="","",F65/Dashboard!$B$7)</f>
        <v>1.5133333333333334</v>
      </c>
      <c r="H65" s="1">
        <f>IF(A65="","",IF(F65&gt;=Dashboard!$B$7,1,0))</f>
        <v>1</v>
      </c>
    </row>
    <row r="66" spans="1:8" ht="21" customHeight="1">
      <c r="A66" s="1">
        <f>IF('Savings Inputs'!$B$14,60,"")</f>
        <v>60</v>
      </c>
      <c r="B66" s="19">
        <f>IF(A66="","",DATE(YEAR('Savings Inputs'!$B$10),MONTH('Savings Inputs'!$B$10)+A66+1,0))</f>
        <v>48152</v>
      </c>
      <c r="C66" s="3">
        <f t="shared" si="1"/>
        <v>227000</v>
      </c>
      <c r="D66" s="3">
        <f>IF(A66="","",'Savings Inputs'!$B$8)</f>
        <v>3000</v>
      </c>
      <c r="E66" s="3">
        <f>IF(A66="","",IF(A66='Savings Inputs'!$B$16,'Savings Inputs'!$B$9,0))</f>
        <v>0</v>
      </c>
      <c r="F66" s="3">
        <f t="shared" si="0"/>
        <v>230000</v>
      </c>
      <c r="G66" s="20">
        <f>IF(A66="","",F66/Dashboard!$B$7)</f>
        <v>1.5333333333333334</v>
      </c>
      <c r="H66" s="1">
        <f>IF(A66="","",IF(F66&gt;=Dashboard!$B$7,1,0))</f>
        <v>1</v>
      </c>
    </row>
    <row r="67" spans="1:8" ht="21" customHeight="1">
      <c r="A67" s="1">
        <f>IF('Savings Inputs'!$B$14,61,"")</f>
        <v>61</v>
      </c>
      <c r="B67" s="19">
        <f>IF(A67="","",DATE(YEAR('Savings Inputs'!$B$10),MONTH('Savings Inputs'!$B$10)+A67+1,0))</f>
        <v>48182</v>
      </c>
      <c r="C67" s="3">
        <f t="shared" si="1"/>
        <v>230000</v>
      </c>
      <c r="D67" s="3">
        <f>IF(A67="","",'Savings Inputs'!$B$8)</f>
        <v>3000</v>
      </c>
      <c r="E67" s="3">
        <f>IF(A67="","",IF(A67='Savings Inputs'!$B$16,'Savings Inputs'!$B$9,0))</f>
        <v>0</v>
      </c>
      <c r="F67" s="3">
        <f t="shared" si="0"/>
        <v>233000</v>
      </c>
      <c r="G67" s="20">
        <f>IF(A67="","",F67/Dashboard!$B$7)</f>
        <v>1.5533333333333332</v>
      </c>
      <c r="H67" s="1">
        <f>IF(A67="","",IF(F67&gt;=Dashboard!$B$7,1,0))</f>
        <v>1</v>
      </c>
    </row>
    <row r="68" spans="1:8" ht="21" customHeight="1">
      <c r="A68" s="1">
        <f>IF('Savings Inputs'!$B$14,62,"")</f>
        <v>62</v>
      </c>
      <c r="B68" s="19">
        <f>IF(A68="","",DATE(YEAR('Savings Inputs'!$B$10),MONTH('Savings Inputs'!$B$10)+A68+1,0))</f>
        <v>48213</v>
      </c>
      <c r="C68" s="3">
        <f t="shared" si="1"/>
        <v>233000</v>
      </c>
      <c r="D68" s="3">
        <f>IF(A68="","",'Savings Inputs'!$B$8)</f>
        <v>3000</v>
      </c>
      <c r="E68" s="3">
        <f>IF(A68="","",IF(A68='Savings Inputs'!$B$16,'Savings Inputs'!$B$9,0))</f>
        <v>0</v>
      </c>
      <c r="F68" s="3">
        <f t="shared" si="0"/>
        <v>236000</v>
      </c>
      <c r="G68" s="20">
        <f>IF(A68="","",F68/Dashboard!$B$7)</f>
        <v>1.5733333333333333</v>
      </c>
      <c r="H68" s="1">
        <f>IF(A68="","",IF(F68&gt;=Dashboard!$B$7,1,0))</f>
        <v>1</v>
      </c>
    </row>
    <row r="69" spans="1:8" ht="21" customHeight="1">
      <c r="A69" s="1">
        <f>IF('Savings Inputs'!$B$14,63,"")</f>
        <v>63</v>
      </c>
      <c r="B69" s="19">
        <f>IF(A69="","",DATE(YEAR('Savings Inputs'!$B$10),MONTH('Savings Inputs'!$B$10)+A69+1,0))</f>
        <v>48244</v>
      </c>
      <c r="C69" s="3">
        <f t="shared" si="1"/>
        <v>236000</v>
      </c>
      <c r="D69" s="3">
        <f>IF(A69="","",'Savings Inputs'!$B$8)</f>
        <v>3000</v>
      </c>
      <c r="E69" s="3">
        <f>IF(A69="","",IF(A69='Savings Inputs'!$B$16,'Savings Inputs'!$B$9,0))</f>
        <v>0</v>
      </c>
      <c r="F69" s="3">
        <f t="shared" si="0"/>
        <v>239000</v>
      </c>
      <c r="G69" s="20">
        <f>IF(A69="","",F69/Dashboard!$B$7)</f>
        <v>1.5933333333333333</v>
      </c>
      <c r="H69" s="1">
        <f>IF(A69="","",IF(F69&gt;=Dashboard!$B$7,1,0))</f>
        <v>1</v>
      </c>
    </row>
    <row r="70" spans="1:8" ht="21" customHeight="1">
      <c r="A70" s="1">
        <f>IF('Savings Inputs'!$B$14,64,"")</f>
        <v>64</v>
      </c>
      <c r="B70" s="19">
        <f>IF(A70="","",DATE(YEAR('Savings Inputs'!$B$10),MONTH('Savings Inputs'!$B$10)+A70+1,0))</f>
        <v>48273</v>
      </c>
      <c r="C70" s="3">
        <f t="shared" si="1"/>
        <v>239000</v>
      </c>
      <c r="D70" s="3">
        <f>IF(A70="","",'Savings Inputs'!$B$8)</f>
        <v>3000</v>
      </c>
      <c r="E70" s="3">
        <f>IF(A70="","",IF(A70='Savings Inputs'!$B$16,'Savings Inputs'!$B$9,0))</f>
        <v>0</v>
      </c>
      <c r="F70" s="3">
        <f t="shared" si="0"/>
        <v>242000</v>
      </c>
      <c r="G70" s="20">
        <f>IF(A70="","",F70/Dashboard!$B$7)</f>
        <v>1.6133333333333333</v>
      </c>
      <c r="H70" s="1">
        <f>IF(A70="","",IF(F70&gt;=Dashboard!$B$7,1,0))</f>
        <v>1</v>
      </c>
    </row>
    <row r="71" spans="1:8" ht="21" customHeight="1">
      <c r="A71" s="15">
        <f>IF('Savings Inputs'!$B$14,65,"")</f>
        <v>65</v>
      </c>
      <c r="B71" s="16">
        <f>IF(A71="","",DATE(YEAR('Savings Inputs'!$B$10),MONTH('Savings Inputs'!$B$10)+A71+1,0))</f>
        <v>48304</v>
      </c>
      <c r="C71" s="17">
        <f t="shared" si="1"/>
        <v>242000</v>
      </c>
      <c r="D71" s="17">
        <f>IF(A71="","",'Savings Inputs'!$B$8)</f>
        <v>3000</v>
      </c>
      <c r="E71" s="17">
        <f>IF(A71="","",IF(A71='Savings Inputs'!$B$16,'Savings Inputs'!$B$9,0))</f>
        <v>0</v>
      </c>
      <c r="F71" s="17">
        <f t="shared" ref="F71:F134" si="2">IF(A71="","",SUM(C71:E71))</f>
        <v>245000</v>
      </c>
      <c r="G71" s="18">
        <f>IF(A71="","",F71/Dashboard!$B$7)</f>
        <v>1.6333333333333333</v>
      </c>
      <c r="H71" s="15">
        <f>IF(A71="","",IF(F71&gt;=Dashboard!$B$7,1,0))</f>
        <v>1</v>
      </c>
    </row>
    <row r="72" spans="1:8" ht="21" customHeight="1">
      <c r="A72" s="15">
        <f>IF('Savings Inputs'!$B$14,66,"")</f>
        <v>66</v>
      </c>
      <c r="B72" s="16">
        <f>IF(A72="","",DATE(YEAR('Savings Inputs'!$B$10),MONTH('Savings Inputs'!$B$10)+A72+1,0))</f>
        <v>48334</v>
      </c>
      <c r="C72" s="17">
        <f t="shared" ref="C72:C135" si="3">IF(A72="","",F71)</f>
        <v>245000</v>
      </c>
      <c r="D72" s="17">
        <f>IF(A72="","",'Savings Inputs'!$B$8)</f>
        <v>3000</v>
      </c>
      <c r="E72" s="17">
        <f>IF(A72="","",IF(A72='Savings Inputs'!$B$16,'Savings Inputs'!$B$9,0))</f>
        <v>0</v>
      </c>
      <c r="F72" s="17">
        <f t="shared" si="2"/>
        <v>248000</v>
      </c>
      <c r="G72" s="18">
        <f>IF(A72="","",F72/Dashboard!$B$7)</f>
        <v>1.6533333333333333</v>
      </c>
      <c r="H72" s="15">
        <f>IF(A72="","",IF(F72&gt;=Dashboard!$B$7,1,0))</f>
        <v>1</v>
      </c>
    </row>
    <row r="73" spans="1:8" ht="21" customHeight="1">
      <c r="A73" s="15">
        <f>IF('Savings Inputs'!$B$14,67,"")</f>
        <v>67</v>
      </c>
      <c r="B73" s="16">
        <f>IF(A73="","",DATE(YEAR('Savings Inputs'!$B$10),MONTH('Savings Inputs'!$B$10)+A73+1,0))</f>
        <v>48365</v>
      </c>
      <c r="C73" s="17">
        <f t="shared" si="3"/>
        <v>248000</v>
      </c>
      <c r="D73" s="17">
        <f>IF(A73="","",'Savings Inputs'!$B$8)</f>
        <v>3000</v>
      </c>
      <c r="E73" s="17">
        <f>IF(A73="","",IF(A73='Savings Inputs'!$B$16,'Savings Inputs'!$B$9,0))</f>
        <v>0</v>
      </c>
      <c r="F73" s="17">
        <f t="shared" si="2"/>
        <v>251000</v>
      </c>
      <c r="G73" s="18">
        <f>IF(A73="","",F73/Dashboard!$B$7)</f>
        <v>1.6733333333333333</v>
      </c>
      <c r="H73" s="15">
        <f>IF(A73="","",IF(F73&gt;=Dashboard!$B$7,1,0))</f>
        <v>1</v>
      </c>
    </row>
    <row r="74" spans="1:8" ht="21" customHeight="1">
      <c r="A74" s="15">
        <f>IF('Savings Inputs'!$B$14,68,"")</f>
        <v>68</v>
      </c>
      <c r="B74" s="16">
        <f>IF(A74="","",DATE(YEAR('Savings Inputs'!$B$10),MONTH('Savings Inputs'!$B$10)+A74+1,0))</f>
        <v>48395</v>
      </c>
      <c r="C74" s="17">
        <f t="shared" si="3"/>
        <v>251000</v>
      </c>
      <c r="D74" s="17">
        <f>IF(A74="","",'Savings Inputs'!$B$8)</f>
        <v>3000</v>
      </c>
      <c r="E74" s="17">
        <f>IF(A74="","",IF(A74='Savings Inputs'!$B$16,'Savings Inputs'!$B$9,0))</f>
        <v>0</v>
      </c>
      <c r="F74" s="17">
        <f t="shared" si="2"/>
        <v>254000</v>
      </c>
      <c r="G74" s="18">
        <f>IF(A74="","",F74/Dashboard!$B$7)</f>
        <v>1.6933333333333334</v>
      </c>
      <c r="H74" s="15">
        <f>IF(A74="","",IF(F74&gt;=Dashboard!$B$7,1,0))</f>
        <v>1</v>
      </c>
    </row>
    <row r="75" spans="1:8" ht="21" customHeight="1">
      <c r="A75" s="15">
        <f>IF('Savings Inputs'!$B$14,69,"")</f>
        <v>69</v>
      </c>
      <c r="B75" s="16">
        <f>IF(A75="","",DATE(YEAR('Savings Inputs'!$B$10),MONTH('Savings Inputs'!$B$10)+A75+1,0))</f>
        <v>48426</v>
      </c>
      <c r="C75" s="17">
        <f t="shared" si="3"/>
        <v>254000</v>
      </c>
      <c r="D75" s="17">
        <f>IF(A75="","",'Savings Inputs'!$B$8)</f>
        <v>3000</v>
      </c>
      <c r="E75" s="17">
        <f>IF(A75="","",IF(A75='Savings Inputs'!$B$16,'Savings Inputs'!$B$9,0))</f>
        <v>0</v>
      </c>
      <c r="F75" s="17">
        <f t="shared" si="2"/>
        <v>257000</v>
      </c>
      <c r="G75" s="18">
        <f>IF(A75="","",F75/Dashboard!$B$7)</f>
        <v>1.7133333333333334</v>
      </c>
      <c r="H75" s="15">
        <f>IF(A75="","",IF(F75&gt;=Dashboard!$B$7,1,0))</f>
        <v>1</v>
      </c>
    </row>
    <row r="76" spans="1:8" ht="21" customHeight="1">
      <c r="A76" s="15">
        <f>IF('Savings Inputs'!$B$14,70,"")</f>
        <v>70</v>
      </c>
      <c r="B76" s="16">
        <f>IF(A76="","",DATE(YEAR('Savings Inputs'!$B$10),MONTH('Savings Inputs'!$B$10)+A76+1,0))</f>
        <v>48457</v>
      </c>
      <c r="C76" s="17">
        <f t="shared" si="3"/>
        <v>257000</v>
      </c>
      <c r="D76" s="17">
        <f>IF(A76="","",'Savings Inputs'!$B$8)</f>
        <v>3000</v>
      </c>
      <c r="E76" s="17">
        <f>IF(A76="","",IF(A76='Savings Inputs'!$B$16,'Savings Inputs'!$B$9,0))</f>
        <v>0</v>
      </c>
      <c r="F76" s="17">
        <f t="shared" si="2"/>
        <v>260000</v>
      </c>
      <c r="G76" s="18">
        <f>IF(A76="","",F76/Dashboard!$B$7)</f>
        <v>1.7333333333333334</v>
      </c>
      <c r="H76" s="15">
        <f>IF(A76="","",IF(F76&gt;=Dashboard!$B$7,1,0))</f>
        <v>1</v>
      </c>
    </row>
    <row r="77" spans="1:8" ht="21" customHeight="1">
      <c r="A77" s="15">
        <f>IF('Savings Inputs'!$B$14,71,"")</f>
        <v>71</v>
      </c>
      <c r="B77" s="16">
        <f>IF(A77="","",DATE(YEAR('Savings Inputs'!$B$10),MONTH('Savings Inputs'!$B$10)+A77+1,0))</f>
        <v>48487</v>
      </c>
      <c r="C77" s="17">
        <f t="shared" si="3"/>
        <v>260000</v>
      </c>
      <c r="D77" s="17">
        <f>IF(A77="","",'Savings Inputs'!$B$8)</f>
        <v>3000</v>
      </c>
      <c r="E77" s="17">
        <f>IF(A77="","",IF(A77='Savings Inputs'!$B$16,'Savings Inputs'!$B$9,0))</f>
        <v>0</v>
      </c>
      <c r="F77" s="17">
        <f t="shared" si="2"/>
        <v>263000</v>
      </c>
      <c r="G77" s="18">
        <f>IF(A77="","",F77/Dashboard!$B$7)</f>
        <v>1.7533333333333334</v>
      </c>
      <c r="H77" s="15">
        <f>IF(A77="","",IF(F77&gt;=Dashboard!$B$7,1,0))</f>
        <v>1</v>
      </c>
    </row>
    <row r="78" spans="1:8" ht="21" customHeight="1">
      <c r="A78" s="15">
        <f>IF('Savings Inputs'!$B$14,72,"")</f>
        <v>72</v>
      </c>
      <c r="B78" s="16">
        <f>IF(A78="","",DATE(YEAR('Savings Inputs'!$B$10),MONTH('Savings Inputs'!$B$10)+A78+1,0))</f>
        <v>48518</v>
      </c>
      <c r="C78" s="17">
        <f t="shared" si="3"/>
        <v>263000</v>
      </c>
      <c r="D78" s="17">
        <f>IF(A78="","",'Savings Inputs'!$B$8)</f>
        <v>3000</v>
      </c>
      <c r="E78" s="17">
        <f>IF(A78="","",IF(A78='Savings Inputs'!$B$16,'Savings Inputs'!$B$9,0))</f>
        <v>0</v>
      </c>
      <c r="F78" s="17">
        <f t="shared" si="2"/>
        <v>266000</v>
      </c>
      <c r="G78" s="18">
        <f>IF(A78="","",F78/Dashboard!$B$7)</f>
        <v>1.7733333333333334</v>
      </c>
      <c r="H78" s="15">
        <f>IF(A78="","",IF(F78&gt;=Dashboard!$B$7,1,0))</f>
        <v>1</v>
      </c>
    </row>
    <row r="79" spans="1:8" ht="21" customHeight="1">
      <c r="A79" s="15">
        <f>IF('Savings Inputs'!$B$14,73,"")</f>
        <v>73</v>
      </c>
      <c r="B79" s="16">
        <f>IF(A79="","",DATE(YEAR('Savings Inputs'!$B$10),MONTH('Savings Inputs'!$B$10)+A79+1,0))</f>
        <v>48548</v>
      </c>
      <c r="C79" s="17">
        <f t="shared" si="3"/>
        <v>266000</v>
      </c>
      <c r="D79" s="17">
        <f>IF(A79="","",'Savings Inputs'!$B$8)</f>
        <v>3000</v>
      </c>
      <c r="E79" s="17">
        <f>IF(A79="","",IF(A79='Savings Inputs'!$B$16,'Savings Inputs'!$B$9,0))</f>
        <v>0</v>
      </c>
      <c r="F79" s="17">
        <f t="shared" si="2"/>
        <v>269000</v>
      </c>
      <c r="G79" s="18">
        <f>IF(A79="","",F79/Dashboard!$B$7)</f>
        <v>1.7933333333333332</v>
      </c>
      <c r="H79" s="15">
        <f>IF(A79="","",IF(F79&gt;=Dashboard!$B$7,1,0))</f>
        <v>1</v>
      </c>
    </row>
    <row r="80" spans="1:8" ht="21" customHeight="1">
      <c r="A80" s="15">
        <f>IF('Savings Inputs'!$B$14,74,"")</f>
        <v>74</v>
      </c>
      <c r="B80" s="16">
        <f>IF(A80="","",DATE(YEAR('Savings Inputs'!$B$10),MONTH('Savings Inputs'!$B$10)+A80+1,0))</f>
        <v>48579</v>
      </c>
      <c r="C80" s="17">
        <f t="shared" si="3"/>
        <v>269000</v>
      </c>
      <c r="D80" s="17">
        <f>IF(A80="","",'Savings Inputs'!$B$8)</f>
        <v>3000</v>
      </c>
      <c r="E80" s="17">
        <f>IF(A80="","",IF(A80='Savings Inputs'!$B$16,'Savings Inputs'!$B$9,0))</f>
        <v>0</v>
      </c>
      <c r="F80" s="17">
        <f t="shared" si="2"/>
        <v>272000</v>
      </c>
      <c r="G80" s="18">
        <f>IF(A80="","",F80/Dashboard!$B$7)</f>
        <v>1.8133333333333332</v>
      </c>
      <c r="H80" s="15">
        <f>IF(A80="","",IF(F80&gt;=Dashboard!$B$7,1,0))</f>
        <v>1</v>
      </c>
    </row>
    <row r="81" spans="1:8" ht="21" customHeight="1">
      <c r="A81" s="15">
        <f>IF('Savings Inputs'!$B$14,75,"")</f>
        <v>75</v>
      </c>
      <c r="B81" s="16">
        <f>IF(A81="","",DATE(YEAR('Savings Inputs'!$B$10),MONTH('Savings Inputs'!$B$10)+A81+1,0))</f>
        <v>48610</v>
      </c>
      <c r="C81" s="17">
        <f t="shared" si="3"/>
        <v>272000</v>
      </c>
      <c r="D81" s="17">
        <f>IF(A81="","",'Savings Inputs'!$B$8)</f>
        <v>3000</v>
      </c>
      <c r="E81" s="17">
        <f>IF(A81="","",IF(A81='Savings Inputs'!$B$16,'Savings Inputs'!$B$9,0))</f>
        <v>0</v>
      </c>
      <c r="F81" s="17">
        <f t="shared" si="2"/>
        <v>275000</v>
      </c>
      <c r="G81" s="18">
        <f>IF(A81="","",F81/Dashboard!$B$7)</f>
        <v>1.8333333333333333</v>
      </c>
      <c r="H81" s="15">
        <f>IF(A81="","",IF(F81&gt;=Dashboard!$B$7,1,0))</f>
        <v>1</v>
      </c>
    </row>
    <row r="82" spans="1:8" ht="21" customHeight="1">
      <c r="A82" s="15">
        <f>IF('Savings Inputs'!$B$14,76,"")</f>
        <v>76</v>
      </c>
      <c r="B82" s="16">
        <f>IF(A82="","",DATE(YEAR('Savings Inputs'!$B$10),MONTH('Savings Inputs'!$B$10)+A82+1,0))</f>
        <v>48638</v>
      </c>
      <c r="C82" s="17">
        <f t="shared" si="3"/>
        <v>275000</v>
      </c>
      <c r="D82" s="17">
        <f>IF(A82="","",'Savings Inputs'!$B$8)</f>
        <v>3000</v>
      </c>
      <c r="E82" s="17">
        <f>IF(A82="","",IF(A82='Savings Inputs'!$B$16,'Savings Inputs'!$B$9,0))</f>
        <v>0</v>
      </c>
      <c r="F82" s="17">
        <f t="shared" si="2"/>
        <v>278000</v>
      </c>
      <c r="G82" s="18">
        <f>IF(A82="","",F82/Dashboard!$B$7)</f>
        <v>1.8533333333333333</v>
      </c>
      <c r="H82" s="15">
        <f>IF(A82="","",IF(F82&gt;=Dashboard!$B$7,1,0))</f>
        <v>1</v>
      </c>
    </row>
    <row r="83" spans="1:8" ht="21" customHeight="1">
      <c r="A83" s="15">
        <f>IF('Savings Inputs'!$B$14,77,"")</f>
        <v>77</v>
      </c>
      <c r="B83" s="16">
        <f>IF(A83="","",DATE(YEAR('Savings Inputs'!$B$10),MONTH('Savings Inputs'!$B$10)+A83+1,0))</f>
        <v>48669</v>
      </c>
      <c r="C83" s="17">
        <f t="shared" si="3"/>
        <v>278000</v>
      </c>
      <c r="D83" s="17">
        <f>IF(A83="","",'Savings Inputs'!$B$8)</f>
        <v>3000</v>
      </c>
      <c r="E83" s="17">
        <f>IF(A83="","",IF(A83='Savings Inputs'!$B$16,'Savings Inputs'!$B$9,0))</f>
        <v>0</v>
      </c>
      <c r="F83" s="17">
        <f t="shared" si="2"/>
        <v>281000</v>
      </c>
      <c r="G83" s="18">
        <f>IF(A83="","",F83/Dashboard!$B$7)</f>
        <v>1.8733333333333333</v>
      </c>
      <c r="H83" s="15">
        <f>IF(A83="","",IF(F83&gt;=Dashboard!$B$7,1,0))</f>
        <v>1</v>
      </c>
    </row>
    <row r="84" spans="1:8" ht="21" customHeight="1">
      <c r="A84" s="15">
        <f>IF('Savings Inputs'!$B$14,78,"")</f>
        <v>78</v>
      </c>
      <c r="B84" s="16">
        <f>IF(A84="","",DATE(YEAR('Savings Inputs'!$B$10),MONTH('Savings Inputs'!$B$10)+A84+1,0))</f>
        <v>48699</v>
      </c>
      <c r="C84" s="17">
        <f t="shared" si="3"/>
        <v>281000</v>
      </c>
      <c r="D84" s="17">
        <f>IF(A84="","",'Savings Inputs'!$B$8)</f>
        <v>3000</v>
      </c>
      <c r="E84" s="17">
        <f>IF(A84="","",IF(A84='Savings Inputs'!$B$16,'Savings Inputs'!$B$9,0))</f>
        <v>0</v>
      </c>
      <c r="F84" s="17">
        <f t="shared" si="2"/>
        <v>284000</v>
      </c>
      <c r="G84" s="18">
        <f>IF(A84="","",F84/Dashboard!$B$7)</f>
        <v>1.8933333333333333</v>
      </c>
      <c r="H84" s="15">
        <f>IF(A84="","",IF(F84&gt;=Dashboard!$B$7,1,0))</f>
        <v>1</v>
      </c>
    </row>
    <row r="85" spans="1:8" ht="21" customHeight="1">
      <c r="A85" s="15">
        <f>IF('Savings Inputs'!$B$14,79,"")</f>
        <v>79</v>
      </c>
      <c r="B85" s="16">
        <f>IF(A85="","",DATE(YEAR('Savings Inputs'!$B$10),MONTH('Savings Inputs'!$B$10)+A85+1,0))</f>
        <v>48730</v>
      </c>
      <c r="C85" s="17">
        <f t="shared" si="3"/>
        <v>284000</v>
      </c>
      <c r="D85" s="17">
        <f>IF(A85="","",'Savings Inputs'!$B$8)</f>
        <v>3000</v>
      </c>
      <c r="E85" s="17">
        <f>IF(A85="","",IF(A85='Savings Inputs'!$B$16,'Savings Inputs'!$B$9,0))</f>
        <v>0</v>
      </c>
      <c r="F85" s="17">
        <f t="shared" si="2"/>
        <v>287000</v>
      </c>
      <c r="G85" s="18">
        <f>IF(A85="","",F85/Dashboard!$B$7)</f>
        <v>1.9133333333333333</v>
      </c>
      <c r="H85" s="15">
        <f>IF(A85="","",IF(F85&gt;=Dashboard!$B$7,1,0))</f>
        <v>1</v>
      </c>
    </row>
    <row r="86" spans="1:8" ht="21" customHeight="1">
      <c r="A86" s="15">
        <f>IF('Savings Inputs'!$B$14,80,"")</f>
        <v>80</v>
      </c>
      <c r="B86" s="16">
        <f>IF(A86="","",DATE(YEAR('Savings Inputs'!$B$10),MONTH('Savings Inputs'!$B$10)+A86+1,0))</f>
        <v>48760</v>
      </c>
      <c r="C86" s="17">
        <f t="shared" si="3"/>
        <v>287000</v>
      </c>
      <c r="D86" s="17">
        <f>IF(A86="","",'Savings Inputs'!$B$8)</f>
        <v>3000</v>
      </c>
      <c r="E86" s="17">
        <f>IF(A86="","",IF(A86='Savings Inputs'!$B$16,'Savings Inputs'!$B$9,0))</f>
        <v>0</v>
      </c>
      <c r="F86" s="17">
        <f t="shared" si="2"/>
        <v>290000</v>
      </c>
      <c r="G86" s="18">
        <f>IF(A86="","",F86/Dashboard!$B$7)</f>
        <v>1.9333333333333333</v>
      </c>
      <c r="H86" s="15">
        <f>IF(A86="","",IF(F86&gt;=Dashboard!$B$7,1,0))</f>
        <v>1</v>
      </c>
    </row>
    <row r="87" spans="1:8" ht="21" customHeight="1">
      <c r="A87" s="15">
        <f>IF('Savings Inputs'!$B$14,81,"")</f>
        <v>81</v>
      </c>
      <c r="B87" s="16">
        <f>IF(A87="","",DATE(YEAR('Savings Inputs'!$B$10),MONTH('Savings Inputs'!$B$10)+A87+1,0))</f>
        <v>48791</v>
      </c>
      <c r="C87" s="17">
        <f t="shared" si="3"/>
        <v>290000</v>
      </c>
      <c r="D87" s="17">
        <f>IF(A87="","",'Savings Inputs'!$B$8)</f>
        <v>3000</v>
      </c>
      <c r="E87" s="17">
        <f>IF(A87="","",IF(A87='Savings Inputs'!$B$16,'Savings Inputs'!$B$9,0))</f>
        <v>0</v>
      </c>
      <c r="F87" s="17">
        <f t="shared" si="2"/>
        <v>293000</v>
      </c>
      <c r="G87" s="18">
        <f>IF(A87="","",F87/Dashboard!$B$7)</f>
        <v>1.9533333333333334</v>
      </c>
      <c r="H87" s="15">
        <f>IF(A87="","",IF(F87&gt;=Dashboard!$B$7,1,0))</f>
        <v>1</v>
      </c>
    </row>
    <row r="88" spans="1:8" ht="21" customHeight="1">
      <c r="A88" s="15">
        <f>IF('Savings Inputs'!$B$14,82,"")</f>
        <v>82</v>
      </c>
      <c r="B88" s="16">
        <f>IF(A88="","",DATE(YEAR('Savings Inputs'!$B$10),MONTH('Savings Inputs'!$B$10)+A88+1,0))</f>
        <v>48822</v>
      </c>
      <c r="C88" s="17">
        <f t="shared" si="3"/>
        <v>293000</v>
      </c>
      <c r="D88" s="17">
        <f>IF(A88="","",'Savings Inputs'!$B$8)</f>
        <v>3000</v>
      </c>
      <c r="E88" s="17">
        <f>IF(A88="","",IF(A88='Savings Inputs'!$B$16,'Savings Inputs'!$B$9,0))</f>
        <v>0</v>
      </c>
      <c r="F88" s="17">
        <f t="shared" si="2"/>
        <v>296000</v>
      </c>
      <c r="G88" s="18">
        <f>IF(A88="","",F88/Dashboard!$B$7)</f>
        <v>1.9733333333333334</v>
      </c>
      <c r="H88" s="15">
        <f>IF(A88="","",IF(F88&gt;=Dashboard!$B$7,1,0))</f>
        <v>1</v>
      </c>
    </row>
    <row r="89" spans="1:8" ht="21" customHeight="1">
      <c r="A89" s="15">
        <f>IF('Savings Inputs'!$B$14,83,"")</f>
        <v>83</v>
      </c>
      <c r="B89" s="16">
        <f>IF(A89="","",DATE(YEAR('Savings Inputs'!$B$10),MONTH('Savings Inputs'!$B$10)+A89+1,0))</f>
        <v>48852</v>
      </c>
      <c r="C89" s="17">
        <f t="shared" si="3"/>
        <v>296000</v>
      </c>
      <c r="D89" s="17">
        <f>IF(A89="","",'Savings Inputs'!$B$8)</f>
        <v>3000</v>
      </c>
      <c r="E89" s="17">
        <f>IF(A89="","",IF(A89='Savings Inputs'!$B$16,'Savings Inputs'!$B$9,0))</f>
        <v>0</v>
      </c>
      <c r="F89" s="17">
        <f t="shared" si="2"/>
        <v>299000</v>
      </c>
      <c r="G89" s="18">
        <f>IF(A89="","",F89/Dashboard!$B$7)</f>
        <v>1.9933333333333334</v>
      </c>
      <c r="H89" s="15">
        <f>IF(A89="","",IF(F89&gt;=Dashboard!$B$7,1,0))</f>
        <v>1</v>
      </c>
    </row>
    <row r="90" spans="1:8" ht="21" customHeight="1">
      <c r="A90" s="15">
        <f>IF('Savings Inputs'!$B$14,84,"")</f>
        <v>84</v>
      </c>
      <c r="B90" s="16">
        <f>IF(A90="","",DATE(YEAR('Savings Inputs'!$B$10),MONTH('Savings Inputs'!$B$10)+A90+1,0))</f>
        <v>48883</v>
      </c>
      <c r="C90" s="17">
        <f t="shared" si="3"/>
        <v>299000</v>
      </c>
      <c r="D90" s="17">
        <f>IF(A90="","",'Savings Inputs'!$B$8)</f>
        <v>3000</v>
      </c>
      <c r="E90" s="17">
        <f>IF(A90="","",IF(A90='Savings Inputs'!$B$16,'Savings Inputs'!$B$9,0))</f>
        <v>0</v>
      </c>
      <c r="F90" s="17">
        <f t="shared" si="2"/>
        <v>302000</v>
      </c>
      <c r="G90" s="18">
        <f>IF(A90="","",F90/Dashboard!$B$7)</f>
        <v>2.0133333333333332</v>
      </c>
      <c r="H90" s="15">
        <f>IF(A90="","",IF(F90&gt;=Dashboard!$B$7,1,0))</f>
        <v>1</v>
      </c>
    </row>
    <row r="91" spans="1:8" ht="21" customHeight="1">
      <c r="A91" s="15">
        <f>IF('Savings Inputs'!$B$14,85,"")</f>
        <v>85</v>
      </c>
      <c r="B91" s="16">
        <f>IF(A91="","",DATE(YEAR('Savings Inputs'!$B$10),MONTH('Savings Inputs'!$B$10)+A91+1,0))</f>
        <v>48913</v>
      </c>
      <c r="C91" s="17">
        <f t="shared" si="3"/>
        <v>302000</v>
      </c>
      <c r="D91" s="17">
        <f>IF(A91="","",'Savings Inputs'!$B$8)</f>
        <v>3000</v>
      </c>
      <c r="E91" s="17">
        <f>IF(A91="","",IF(A91='Savings Inputs'!$B$16,'Savings Inputs'!$B$9,0))</f>
        <v>0</v>
      </c>
      <c r="F91" s="17">
        <f t="shared" si="2"/>
        <v>305000</v>
      </c>
      <c r="G91" s="18">
        <f>IF(A91="","",F91/Dashboard!$B$7)</f>
        <v>2.0333333333333332</v>
      </c>
      <c r="H91" s="15">
        <f>IF(A91="","",IF(F91&gt;=Dashboard!$B$7,1,0))</f>
        <v>1</v>
      </c>
    </row>
    <row r="92" spans="1:8" ht="21" customHeight="1">
      <c r="A92" s="15">
        <f>IF('Savings Inputs'!$B$14,86,"")</f>
        <v>86</v>
      </c>
      <c r="B92" s="16">
        <f>IF(A92="","",DATE(YEAR('Savings Inputs'!$B$10),MONTH('Savings Inputs'!$B$10)+A92+1,0))</f>
        <v>48944</v>
      </c>
      <c r="C92" s="17">
        <f t="shared" si="3"/>
        <v>305000</v>
      </c>
      <c r="D92" s="17">
        <f>IF(A92="","",'Savings Inputs'!$B$8)</f>
        <v>3000</v>
      </c>
      <c r="E92" s="17">
        <f>IF(A92="","",IF(A92='Savings Inputs'!$B$16,'Savings Inputs'!$B$9,0))</f>
        <v>0</v>
      </c>
      <c r="F92" s="17">
        <f t="shared" si="2"/>
        <v>308000</v>
      </c>
      <c r="G92" s="18">
        <f>IF(A92="","",F92/Dashboard!$B$7)</f>
        <v>2.0533333333333332</v>
      </c>
      <c r="H92" s="15">
        <f>IF(A92="","",IF(F92&gt;=Dashboard!$B$7,1,0))</f>
        <v>1</v>
      </c>
    </row>
    <row r="93" spans="1:8" ht="21" customHeight="1">
      <c r="A93" s="15">
        <f>IF('Savings Inputs'!$B$14,87,"")</f>
        <v>87</v>
      </c>
      <c r="B93" s="16">
        <f>IF(A93="","",DATE(YEAR('Savings Inputs'!$B$10),MONTH('Savings Inputs'!$B$10)+A93+1,0))</f>
        <v>48975</v>
      </c>
      <c r="C93" s="17">
        <f t="shared" si="3"/>
        <v>308000</v>
      </c>
      <c r="D93" s="17">
        <f>IF(A93="","",'Savings Inputs'!$B$8)</f>
        <v>3000</v>
      </c>
      <c r="E93" s="17">
        <f>IF(A93="","",IF(A93='Savings Inputs'!$B$16,'Savings Inputs'!$B$9,0))</f>
        <v>0</v>
      </c>
      <c r="F93" s="17">
        <f t="shared" si="2"/>
        <v>311000</v>
      </c>
      <c r="G93" s="18">
        <f>IF(A93="","",F93/Dashboard!$B$7)</f>
        <v>2.0733333333333333</v>
      </c>
      <c r="H93" s="15">
        <f>IF(A93="","",IF(F93&gt;=Dashboard!$B$7,1,0))</f>
        <v>1</v>
      </c>
    </row>
    <row r="94" spans="1:8" ht="21" customHeight="1">
      <c r="A94" s="15">
        <f>IF('Savings Inputs'!$B$14,88,"")</f>
        <v>88</v>
      </c>
      <c r="B94" s="16">
        <f>IF(A94="","",DATE(YEAR('Savings Inputs'!$B$10),MONTH('Savings Inputs'!$B$10)+A94+1,0))</f>
        <v>49003</v>
      </c>
      <c r="C94" s="17">
        <f t="shared" si="3"/>
        <v>311000</v>
      </c>
      <c r="D94" s="17">
        <f>IF(A94="","",'Savings Inputs'!$B$8)</f>
        <v>3000</v>
      </c>
      <c r="E94" s="17">
        <f>IF(A94="","",IF(A94='Savings Inputs'!$B$16,'Savings Inputs'!$B$9,0))</f>
        <v>0</v>
      </c>
      <c r="F94" s="17">
        <f t="shared" si="2"/>
        <v>314000</v>
      </c>
      <c r="G94" s="18">
        <f>IF(A94="","",F94/Dashboard!$B$7)</f>
        <v>2.0933333333333333</v>
      </c>
      <c r="H94" s="15">
        <f>IF(A94="","",IF(F94&gt;=Dashboard!$B$7,1,0))</f>
        <v>1</v>
      </c>
    </row>
    <row r="95" spans="1:8" ht="21" customHeight="1">
      <c r="A95" s="15">
        <f>IF('Savings Inputs'!$B$14,89,"")</f>
        <v>89</v>
      </c>
      <c r="B95" s="16">
        <f>IF(A95="","",DATE(YEAR('Savings Inputs'!$B$10),MONTH('Savings Inputs'!$B$10)+A95+1,0))</f>
        <v>49034</v>
      </c>
      <c r="C95" s="17">
        <f t="shared" si="3"/>
        <v>314000</v>
      </c>
      <c r="D95" s="17">
        <f>IF(A95="","",'Savings Inputs'!$B$8)</f>
        <v>3000</v>
      </c>
      <c r="E95" s="17">
        <f>IF(A95="","",IF(A95='Savings Inputs'!$B$16,'Savings Inputs'!$B$9,0))</f>
        <v>0</v>
      </c>
      <c r="F95" s="17">
        <f t="shared" si="2"/>
        <v>317000</v>
      </c>
      <c r="G95" s="18">
        <f>IF(A95="","",F95/Dashboard!$B$7)</f>
        <v>2.1133333333333333</v>
      </c>
      <c r="H95" s="15">
        <f>IF(A95="","",IF(F95&gt;=Dashboard!$B$7,1,0))</f>
        <v>1</v>
      </c>
    </row>
    <row r="96" spans="1:8" ht="21" customHeight="1">
      <c r="A96" s="15">
        <f>IF('Savings Inputs'!$B$14,90,"")</f>
        <v>90</v>
      </c>
      <c r="B96" s="16">
        <f>IF(A96="","",DATE(YEAR('Savings Inputs'!$B$10),MONTH('Savings Inputs'!$B$10)+A96+1,0))</f>
        <v>49064</v>
      </c>
      <c r="C96" s="17">
        <f t="shared" si="3"/>
        <v>317000</v>
      </c>
      <c r="D96" s="17">
        <f>IF(A96="","",'Savings Inputs'!$B$8)</f>
        <v>3000</v>
      </c>
      <c r="E96" s="17">
        <f>IF(A96="","",IF(A96='Savings Inputs'!$B$16,'Savings Inputs'!$B$9,0))</f>
        <v>0</v>
      </c>
      <c r="F96" s="17">
        <f t="shared" si="2"/>
        <v>320000</v>
      </c>
      <c r="G96" s="18">
        <f>IF(A96="","",F96/Dashboard!$B$7)</f>
        <v>2.1333333333333333</v>
      </c>
      <c r="H96" s="15">
        <f>IF(A96="","",IF(F96&gt;=Dashboard!$B$7,1,0))</f>
        <v>1</v>
      </c>
    </row>
    <row r="97" spans="1:8" ht="21" customHeight="1">
      <c r="A97" s="15">
        <f>IF('Savings Inputs'!$B$14,91,"")</f>
        <v>91</v>
      </c>
      <c r="B97" s="16">
        <f>IF(A97="","",DATE(YEAR('Savings Inputs'!$B$10),MONTH('Savings Inputs'!$B$10)+A97+1,0))</f>
        <v>49095</v>
      </c>
      <c r="C97" s="17">
        <f t="shared" si="3"/>
        <v>320000</v>
      </c>
      <c r="D97" s="17">
        <f>IF(A97="","",'Savings Inputs'!$B$8)</f>
        <v>3000</v>
      </c>
      <c r="E97" s="17">
        <f>IF(A97="","",IF(A97='Savings Inputs'!$B$16,'Savings Inputs'!$B$9,0))</f>
        <v>0</v>
      </c>
      <c r="F97" s="17">
        <f t="shared" si="2"/>
        <v>323000</v>
      </c>
      <c r="G97" s="18">
        <f>IF(A97="","",F97/Dashboard!$B$7)</f>
        <v>2.1533333333333333</v>
      </c>
      <c r="H97" s="15">
        <f>IF(A97="","",IF(F97&gt;=Dashboard!$B$7,1,0))</f>
        <v>1</v>
      </c>
    </row>
    <row r="98" spans="1:8" ht="21" customHeight="1">
      <c r="A98" s="15">
        <f>IF('Savings Inputs'!$B$14,92,"")</f>
        <v>92</v>
      </c>
      <c r="B98" s="16">
        <f>IF(A98="","",DATE(YEAR('Savings Inputs'!$B$10),MONTH('Savings Inputs'!$B$10)+A98+1,0))</f>
        <v>49125</v>
      </c>
      <c r="C98" s="17">
        <f t="shared" si="3"/>
        <v>323000</v>
      </c>
      <c r="D98" s="17">
        <f>IF(A98="","",'Savings Inputs'!$B$8)</f>
        <v>3000</v>
      </c>
      <c r="E98" s="17">
        <f>IF(A98="","",IF(A98='Savings Inputs'!$B$16,'Savings Inputs'!$B$9,0))</f>
        <v>0</v>
      </c>
      <c r="F98" s="17">
        <f t="shared" si="2"/>
        <v>326000</v>
      </c>
      <c r="G98" s="18">
        <f>IF(A98="","",F98/Dashboard!$B$7)</f>
        <v>2.1733333333333333</v>
      </c>
      <c r="H98" s="15">
        <f>IF(A98="","",IF(F98&gt;=Dashboard!$B$7,1,0))</f>
        <v>1</v>
      </c>
    </row>
    <row r="99" spans="1:8" ht="21" customHeight="1">
      <c r="A99" s="15">
        <f>IF('Savings Inputs'!$B$14,93,"")</f>
        <v>93</v>
      </c>
      <c r="B99" s="16">
        <f>IF(A99="","",DATE(YEAR('Savings Inputs'!$B$10),MONTH('Savings Inputs'!$B$10)+A99+1,0))</f>
        <v>49156</v>
      </c>
      <c r="C99" s="17">
        <f t="shared" si="3"/>
        <v>326000</v>
      </c>
      <c r="D99" s="17">
        <f>IF(A99="","",'Savings Inputs'!$B$8)</f>
        <v>3000</v>
      </c>
      <c r="E99" s="17">
        <f>IF(A99="","",IF(A99='Savings Inputs'!$B$16,'Savings Inputs'!$B$9,0))</f>
        <v>0</v>
      </c>
      <c r="F99" s="17">
        <f t="shared" si="2"/>
        <v>329000</v>
      </c>
      <c r="G99" s="18">
        <f>IF(A99="","",F99/Dashboard!$B$7)</f>
        <v>2.1933333333333334</v>
      </c>
      <c r="H99" s="15">
        <f>IF(A99="","",IF(F99&gt;=Dashboard!$B$7,1,0))</f>
        <v>1</v>
      </c>
    </row>
    <row r="100" spans="1:8" ht="21" customHeight="1">
      <c r="A100" s="15">
        <f>IF('Savings Inputs'!$B$14,94,"")</f>
        <v>94</v>
      </c>
      <c r="B100" s="16">
        <f>IF(A100="","",DATE(YEAR('Savings Inputs'!$B$10),MONTH('Savings Inputs'!$B$10)+A100+1,0))</f>
        <v>49187</v>
      </c>
      <c r="C100" s="17">
        <f t="shared" si="3"/>
        <v>329000</v>
      </c>
      <c r="D100" s="17">
        <f>IF(A100="","",'Savings Inputs'!$B$8)</f>
        <v>3000</v>
      </c>
      <c r="E100" s="17">
        <f>IF(A100="","",IF(A100='Savings Inputs'!$B$16,'Savings Inputs'!$B$9,0))</f>
        <v>0</v>
      </c>
      <c r="F100" s="17">
        <f t="shared" si="2"/>
        <v>332000</v>
      </c>
      <c r="G100" s="18">
        <f>IF(A100="","",F100/Dashboard!$B$7)</f>
        <v>2.2133333333333334</v>
      </c>
      <c r="H100" s="15">
        <f>IF(A100="","",IF(F100&gt;=Dashboard!$B$7,1,0))</f>
        <v>1</v>
      </c>
    </row>
    <row r="101" spans="1:8" ht="21" customHeight="1">
      <c r="A101" s="15">
        <f>IF('Savings Inputs'!$B$14,95,"")</f>
        <v>95</v>
      </c>
      <c r="B101" s="16">
        <f>IF(A101="","",DATE(YEAR('Savings Inputs'!$B$10),MONTH('Savings Inputs'!$B$10)+A101+1,0))</f>
        <v>49217</v>
      </c>
      <c r="C101" s="17">
        <f t="shared" si="3"/>
        <v>332000</v>
      </c>
      <c r="D101" s="17">
        <f>IF(A101="","",'Savings Inputs'!$B$8)</f>
        <v>3000</v>
      </c>
      <c r="E101" s="17">
        <f>IF(A101="","",IF(A101='Savings Inputs'!$B$16,'Savings Inputs'!$B$9,0))</f>
        <v>0</v>
      </c>
      <c r="F101" s="17">
        <f t="shared" si="2"/>
        <v>335000</v>
      </c>
      <c r="G101" s="18">
        <f>IF(A101="","",F101/Dashboard!$B$7)</f>
        <v>2.2333333333333334</v>
      </c>
      <c r="H101" s="15">
        <f>IF(A101="","",IF(F101&gt;=Dashboard!$B$7,1,0))</f>
        <v>1</v>
      </c>
    </row>
    <row r="102" spans="1:8" ht="21" customHeight="1">
      <c r="A102" s="15">
        <f>IF('Savings Inputs'!$B$14,96,"")</f>
        <v>96</v>
      </c>
      <c r="B102" s="16">
        <f>IF(A102="","",DATE(YEAR('Savings Inputs'!$B$10),MONTH('Savings Inputs'!$B$10)+A102+1,0))</f>
        <v>49248</v>
      </c>
      <c r="C102" s="17">
        <f t="shared" si="3"/>
        <v>335000</v>
      </c>
      <c r="D102" s="17">
        <f>IF(A102="","",'Savings Inputs'!$B$8)</f>
        <v>3000</v>
      </c>
      <c r="E102" s="17">
        <f>IF(A102="","",IF(A102='Savings Inputs'!$B$16,'Savings Inputs'!$B$9,0))</f>
        <v>0</v>
      </c>
      <c r="F102" s="17">
        <f t="shared" si="2"/>
        <v>338000</v>
      </c>
      <c r="G102" s="18">
        <f>IF(A102="","",F102/Dashboard!$B$7)</f>
        <v>2.2533333333333334</v>
      </c>
      <c r="H102" s="15">
        <f>IF(A102="","",IF(F102&gt;=Dashboard!$B$7,1,0))</f>
        <v>1</v>
      </c>
    </row>
    <row r="103" spans="1:8" ht="21" customHeight="1">
      <c r="A103" s="15">
        <f>IF('Savings Inputs'!$B$14,97,"")</f>
        <v>97</v>
      </c>
      <c r="B103" s="16">
        <f>IF(A103="","",DATE(YEAR('Savings Inputs'!$B$10),MONTH('Savings Inputs'!$B$10)+A103+1,0))</f>
        <v>49278</v>
      </c>
      <c r="C103" s="17">
        <f t="shared" si="3"/>
        <v>338000</v>
      </c>
      <c r="D103" s="17">
        <f>IF(A103="","",'Savings Inputs'!$B$8)</f>
        <v>3000</v>
      </c>
      <c r="E103" s="17">
        <f>IF(A103="","",IF(A103='Savings Inputs'!$B$16,'Savings Inputs'!$B$9,0))</f>
        <v>0</v>
      </c>
      <c r="F103" s="17">
        <f t="shared" si="2"/>
        <v>341000</v>
      </c>
      <c r="G103" s="18">
        <f>IF(A103="","",F103/Dashboard!$B$7)</f>
        <v>2.2733333333333334</v>
      </c>
      <c r="H103" s="15">
        <f>IF(A103="","",IF(F103&gt;=Dashboard!$B$7,1,0))</f>
        <v>1</v>
      </c>
    </row>
    <row r="104" spans="1:8" ht="21" customHeight="1">
      <c r="A104" s="15">
        <f>IF('Savings Inputs'!$B$14,98,"")</f>
        <v>98</v>
      </c>
      <c r="B104" s="16">
        <f>IF(A104="","",DATE(YEAR('Savings Inputs'!$B$10),MONTH('Savings Inputs'!$B$10)+A104+1,0))</f>
        <v>49309</v>
      </c>
      <c r="C104" s="17">
        <f t="shared" si="3"/>
        <v>341000</v>
      </c>
      <c r="D104" s="17">
        <f>IF(A104="","",'Savings Inputs'!$B$8)</f>
        <v>3000</v>
      </c>
      <c r="E104" s="17">
        <f>IF(A104="","",IF(A104='Savings Inputs'!$B$16,'Savings Inputs'!$B$9,0))</f>
        <v>0</v>
      </c>
      <c r="F104" s="17">
        <f t="shared" si="2"/>
        <v>344000</v>
      </c>
      <c r="G104" s="18">
        <f>IF(A104="","",F104/Dashboard!$B$7)</f>
        <v>2.2933333333333334</v>
      </c>
      <c r="H104" s="15">
        <f>IF(A104="","",IF(F104&gt;=Dashboard!$B$7,1,0))</f>
        <v>1</v>
      </c>
    </row>
    <row r="105" spans="1:8" ht="21" customHeight="1">
      <c r="A105" s="15">
        <f>IF('Savings Inputs'!$B$14,99,"")</f>
        <v>99</v>
      </c>
      <c r="B105" s="16">
        <f>IF(A105="","",DATE(YEAR('Savings Inputs'!$B$10),MONTH('Savings Inputs'!$B$10)+A105+1,0))</f>
        <v>49340</v>
      </c>
      <c r="C105" s="17">
        <f t="shared" si="3"/>
        <v>344000</v>
      </c>
      <c r="D105" s="17">
        <f>IF(A105="","",'Savings Inputs'!$B$8)</f>
        <v>3000</v>
      </c>
      <c r="E105" s="17">
        <f>IF(A105="","",IF(A105='Savings Inputs'!$B$16,'Savings Inputs'!$B$9,0))</f>
        <v>0</v>
      </c>
      <c r="F105" s="17">
        <f t="shared" si="2"/>
        <v>347000</v>
      </c>
      <c r="G105" s="18">
        <f>IF(A105="","",F105/Dashboard!$B$7)</f>
        <v>2.3133333333333335</v>
      </c>
      <c r="H105" s="15">
        <f>IF(A105="","",IF(F105&gt;=Dashboard!$B$7,1,0))</f>
        <v>1</v>
      </c>
    </row>
    <row r="106" spans="1:8" ht="21" customHeight="1">
      <c r="A106" s="15">
        <f>IF('Savings Inputs'!$B$14,100,"")</f>
        <v>100</v>
      </c>
      <c r="B106" s="16">
        <f>IF(A106="","",DATE(YEAR('Savings Inputs'!$B$10),MONTH('Savings Inputs'!$B$10)+A106+1,0))</f>
        <v>49368</v>
      </c>
      <c r="C106" s="17">
        <f t="shared" si="3"/>
        <v>347000</v>
      </c>
      <c r="D106" s="17">
        <f>IF(A106="","",'Savings Inputs'!$B$8)</f>
        <v>3000</v>
      </c>
      <c r="E106" s="17">
        <f>IF(A106="","",IF(A106='Savings Inputs'!$B$16,'Savings Inputs'!$B$9,0))</f>
        <v>0</v>
      </c>
      <c r="F106" s="17">
        <f t="shared" si="2"/>
        <v>350000</v>
      </c>
      <c r="G106" s="18">
        <f>IF(A106="","",F106/Dashboard!$B$7)</f>
        <v>2.3333333333333335</v>
      </c>
      <c r="H106" s="15">
        <f>IF(A106="","",IF(F106&gt;=Dashboard!$B$7,1,0))</f>
        <v>1</v>
      </c>
    </row>
    <row r="107" spans="1:8" ht="21" customHeight="1">
      <c r="A107" s="15">
        <f>IF('Savings Inputs'!$B$14,101,"")</f>
        <v>101</v>
      </c>
      <c r="B107" s="16">
        <f>IF(A107="","",DATE(YEAR('Savings Inputs'!$B$10),MONTH('Savings Inputs'!$B$10)+A107+1,0))</f>
        <v>49399</v>
      </c>
      <c r="C107" s="17">
        <f t="shared" si="3"/>
        <v>350000</v>
      </c>
      <c r="D107" s="17">
        <f>IF(A107="","",'Savings Inputs'!$B$8)</f>
        <v>3000</v>
      </c>
      <c r="E107" s="17">
        <f>IF(A107="","",IF(A107='Savings Inputs'!$B$16,'Savings Inputs'!$B$9,0))</f>
        <v>0</v>
      </c>
      <c r="F107" s="17">
        <f t="shared" si="2"/>
        <v>353000</v>
      </c>
      <c r="G107" s="18">
        <f>IF(A107="","",F107/Dashboard!$B$7)</f>
        <v>2.3533333333333335</v>
      </c>
      <c r="H107" s="15">
        <f>IF(A107="","",IF(F107&gt;=Dashboard!$B$7,1,0))</f>
        <v>1</v>
      </c>
    </row>
    <row r="108" spans="1:8" ht="21" customHeight="1">
      <c r="A108" s="15">
        <f>IF('Savings Inputs'!$B$14,102,"")</f>
        <v>102</v>
      </c>
      <c r="B108" s="16">
        <f>IF(A108="","",DATE(YEAR('Savings Inputs'!$B$10),MONTH('Savings Inputs'!$B$10)+A108+1,0))</f>
        <v>49429</v>
      </c>
      <c r="C108" s="17">
        <f t="shared" si="3"/>
        <v>353000</v>
      </c>
      <c r="D108" s="17">
        <f>IF(A108="","",'Savings Inputs'!$B$8)</f>
        <v>3000</v>
      </c>
      <c r="E108" s="17">
        <f>IF(A108="","",IF(A108='Savings Inputs'!$B$16,'Savings Inputs'!$B$9,0))</f>
        <v>0</v>
      </c>
      <c r="F108" s="17">
        <f t="shared" si="2"/>
        <v>356000</v>
      </c>
      <c r="G108" s="18">
        <f>IF(A108="","",F108/Dashboard!$B$7)</f>
        <v>2.3733333333333335</v>
      </c>
      <c r="H108" s="15">
        <f>IF(A108="","",IF(F108&gt;=Dashboard!$B$7,1,0))</f>
        <v>1</v>
      </c>
    </row>
    <row r="109" spans="1:8" ht="21" customHeight="1">
      <c r="A109" s="15">
        <f>IF('Savings Inputs'!$B$14,103,"")</f>
        <v>103</v>
      </c>
      <c r="B109" s="16">
        <f>IF(A109="","",DATE(YEAR('Savings Inputs'!$B$10),MONTH('Savings Inputs'!$B$10)+A109+1,0))</f>
        <v>49460</v>
      </c>
      <c r="C109" s="17">
        <f t="shared" si="3"/>
        <v>356000</v>
      </c>
      <c r="D109" s="17">
        <f>IF(A109="","",'Savings Inputs'!$B$8)</f>
        <v>3000</v>
      </c>
      <c r="E109" s="17">
        <f>IF(A109="","",IF(A109='Savings Inputs'!$B$16,'Savings Inputs'!$B$9,0))</f>
        <v>0</v>
      </c>
      <c r="F109" s="17">
        <f t="shared" si="2"/>
        <v>359000</v>
      </c>
      <c r="G109" s="18">
        <f>IF(A109="","",F109/Dashboard!$B$7)</f>
        <v>2.3933333333333335</v>
      </c>
      <c r="H109" s="15">
        <f>IF(A109="","",IF(F109&gt;=Dashboard!$B$7,1,0))</f>
        <v>1</v>
      </c>
    </row>
    <row r="110" spans="1:8" ht="21" customHeight="1">
      <c r="A110" s="15">
        <f>IF('Savings Inputs'!$B$14,104,"")</f>
        <v>104</v>
      </c>
      <c r="B110" s="16">
        <f>IF(A110="","",DATE(YEAR('Savings Inputs'!$B$10),MONTH('Savings Inputs'!$B$10)+A110+1,0))</f>
        <v>49490</v>
      </c>
      <c r="C110" s="17">
        <f t="shared" si="3"/>
        <v>359000</v>
      </c>
      <c r="D110" s="17">
        <f>IF(A110="","",'Savings Inputs'!$B$8)</f>
        <v>3000</v>
      </c>
      <c r="E110" s="17">
        <f>IF(A110="","",IF(A110='Savings Inputs'!$B$16,'Savings Inputs'!$B$9,0))</f>
        <v>0</v>
      </c>
      <c r="F110" s="17">
        <f t="shared" si="2"/>
        <v>362000</v>
      </c>
      <c r="G110" s="18">
        <f>IF(A110="","",F110/Dashboard!$B$7)</f>
        <v>2.4133333333333336</v>
      </c>
      <c r="H110" s="15">
        <f>IF(A110="","",IF(F110&gt;=Dashboard!$B$7,1,0))</f>
        <v>1</v>
      </c>
    </row>
    <row r="111" spans="1:8" ht="21" customHeight="1">
      <c r="A111" s="15">
        <f>IF('Savings Inputs'!$B$14,105,"")</f>
        <v>105</v>
      </c>
      <c r="B111" s="16">
        <f>IF(A111="","",DATE(YEAR('Savings Inputs'!$B$10),MONTH('Savings Inputs'!$B$10)+A111+1,0))</f>
        <v>49521</v>
      </c>
      <c r="C111" s="17">
        <f t="shared" si="3"/>
        <v>362000</v>
      </c>
      <c r="D111" s="17">
        <f>IF(A111="","",'Savings Inputs'!$B$8)</f>
        <v>3000</v>
      </c>
      <c r="E111" s="17">
        <f>IF(A111="","",IF(A111='Savings Inputs'!$B$16,'Savings Inputs'!$B$9,0))</f>
        <v>0</v>
      </c>
      <c r="F111" s="17">
        <f t="shared" si="2"/>
        <v>365000</v>
      </c>
      <c r="G111" s="18">
        <f>IF(A111="","",F111/Dashboard!$B$7)</f>
        <v>2.4333333333333331</v>
      </c>
      <c r="H111" s="15">
        <f>IF(A111="","",IF(F111&gt;=Dashboard!$B$7,1,0))</f>
        <v>1</v>
      </c>
    </row>
    <row r="112" spans="1:8" ht="21" customHeight="1">
      <c r="A112" s="15">
        <f>IF('Savings Inputs'!$B$14,106,"")</f>
        <v>106</v>
      </c>
      <c r="B112" s="16">
        <f>IF(A112="","",DATE(YEAR('Savings Inputs'!$B$10),MONTH('Savings Inputs'!$B$10)+A112+1,0))</f>
        <v>49552</v>
      </c>
      <c r="C112" s="17">
        <f t="shared" si="3"/>
        <v>365000</v>
      </c>
      <c r="D112" s="17">
        <f>IF(A112="","",'Savings Inputs'!$B$8)</f>
        <v>3000</v>
      </c>
      <c r="E112" s="17">
        <f>IF(A112="","",IF(A112='Savings Inputs'!$B$16,'Savings Inputs'!$B$9,0))</f>
        <v>0</v>
      </c>
      <c r="F112" s="17">
        <f t="shared" si="2"/>
        <v>368000</v>
      </c>
      <c r="G112" s="18">
        <f>IF(A112="","",F112/Dashboard!$B$7)</f>
        <v>2.4533333333333331</v>
      </c>
      <c r="H112" s="15">
        <f>IF(A112="","",IF(F112&gt;=Dashboard!$B$7,1,0))</f>
        <v>1</v>
      </c>
    </row>
    <row r="113" spans="1:8" ht="21" customHeight="1">
      <c r="A113" s="15">
        <f>IF('Savings Inputs'!$B$14,107,"")</f>
        <v>107</v>
      </c>
      <c r="B113" s="16">
        <f>IF(A113="","",DATE(YEAR('Savings Inputs'!$B$10),MONTH('Savings Inputs'!$B$10)+A113+1,0))</f>
        <v>49582</v>
      </c>
      <c r="C113" s="17">
        <f t="shared" si="3"/>
        <v>368000</v>
      </c>
      <c r="D113" s="17">
        <f>IF(A113="","",'Savings Inputs'!$B$8)</f>
        <v>3000</v>
      </c>
      <c r="E113" s="17">
        <f>IF(A113="","",IF(A113='Savings Inputs'!$B$16,'Savings Inputs'!$B$9,0))</f>
        <v>0</v>
      </c>
      <c r="F113" s="17">
        <f t="shared" si="2"/>
        <v>371000</v>
      </c>
      <c r="G113" s="18">
        <f>IF(A113="","",F113/Dashboard!$B$7)</f>
        <v>2.4733333333333332</v>
      </c>
      <c r="H113" s="15">
        <f>IF(A113="","",IF(F113&gt;=Dashboard!$B$7,1,0))</f>
        <v>1</v>
      </c>
    </row>
    <row r="114" spans="1:8" ht="21" customHeight="1">
      <c r="A114" s="15">
        <f>IF('Savings Inputs'!$B$14,108,"")</f>
        <v>108</v>
      </c>
      <c r="B114" s="16">
        <f>IF(A114="","",DATE(YEAR('Savings Inputs'!$B$10),MONTH('Savings Inputs'!$B$10)+A114+1,0))</f>
        <v>49613</v>
      </c>
      <c r="C114" s="17">
        <f t="shared" si="3"/>
        <v>371000</v>
      </c>
      <c r="D114" s="17">
        <f>IF(A114="","",'Savings Inputs'!$B$8)</f>
        <v>3000</v>
      </c>
      <c r="E114" s="17">
        <f>IF(A114="","",IF(A114='Savings Inputs'!$B$16,'Savings Inputs'!$B$9,0))</f>
        <v>0</v>
      </c>
      <c r="F114" s="17">
        <f t="shared" si="2"/>
        <v>374000</v>
      </c>
      <c r="G114" s="18">
        <f>IF(A114="","",F114/Dashboard!$B$7)</f>
        <v>2.4933333333333332</v>
      </c>
      <c r="H114" s="15">
        <f>IF(A114="","",IF(F114&gt;=Dashboard!$B$7,1,0))</f>
        <v>1</v>
      </c>
    </row>
    <row r="115" spans="1:8" ht="21" customHeight="1">
      <c r="A115" s="15">
        <f>IF('Savings Inputs'!$B$14,109,"")</f>
        <v>109</v>
      </c>
      <c r="B115" s="16">
        <f>IF(A115="","",DATE(YEAR('Savings Inputs'!$B$10),MONTH('Savings Inputs'!$B$10)+A115+1,0))</f>
        <v>49643</v>
      </c>
      <c r="C115" s="17">
        <f t="shared" si="3"/>
        <v>374000</v>
      </c>
      <c r="D115" s="17">
        <f>IF(A115="","",'Savings Inputs'!$B$8)</f>
        <v>3000</v>
      </c>
      <c r="E115" s="17">
        <f>IF(A115="","",IF(A115='Savings Inputs'!$B$16,'Savings Inputs'!$B$9,0))</f>
        <v>0</v>
      </c>
      <c r="F115" s="17">
        <f t="shared" si="2"/>
        <v>377000</v>
      </c>
      <c r="G115" s="18">
        <f>IF(A115="","",F115/Dashboard!$B$7)</f>
        <v>2.5133333333333332</v>
      </c>
      <c r="H115" s="15">
        <f>IF(A115="","",IF(F115&gt;=Dashboard!$B$7,1,0))</f>
        <v>1</v>
      </c>
    </row>
    <row r="116" spans="1:8" ht="21" customHeight="1">
      <c r="A116" s="15">
        <f>IF('Savings Inputs'!$B$14,110,"")</f>
        <v>110</v>
      </c>
      <c r="B116" s="16">
        <f>IF(A116="","",DATE(YEAR('Savings Inputs'!$B$10),MONTH('Savings Inputs'!$B$10)+A116+1,0))</f>
        <v>49674</v>
      </c>
      <c r="C116" s="17">
        <f t="shared" si="3"/>
        <v>377000</v>
      </c>
      <c r="D116" s="17">
        <f>IF(A116="","",'Savings Inputs'!$B$8)</f>
        <v>3000</v>
      </c>
      <c r="E116" s="17">
        <f>IF(A116="","",IF(A116='Savings Inputs'!$B$16,'Savings Inputs'!$B$9,0))</f>
        <v>0</v>
      </c>
      <c r="F116" s="17">
        <f t="shared" si="2"/>
        <v>380000</v>
      </c>
      <c r="G116" s="18">
        <f>IF(A116="","",F116/Dashboard!$B$7)</f>
        <v>2.5333333333333332</v>
      </c>
      <c r="H116" s="15">
        <f>IF(A116="","",IF(F116&gt;=Dashboard!$B$7,1,0))</f>
        <v>1</v>
      </c>
    </row>
    <row r="117" spans="1:8" ht="21" customHeight="1">
      <c r="A117" s="15">
        <f>IF('Savings Inputs'!$B$14,111,"")</f>
        <v>111</v>
      </c>
      <c r="B117" s="16">
        <f>IF(A117="","",DATE(YEAR('Savings Inputs'!$B$10),MONTH('Savings Inputs'!$B$10)+A117+1,0))</f>
        <v>49705</v>
      </c>
      <c r="C117" s="17">
        <f t="shared" si="3"/>
        <v>380000</v>
      </c>
      <c r="D117" s="17">
        <f>IF(A117="","",'Savings Inputs'!$B$8)</f>
        <v>3000</v>
      </c>
      <c r="E117" s="17">
        <f>IF(A117="","",IF(A117='Savings Inputs'!$B$16,'Savings Inputs'!$B$9,0))</f>
        <v>0</v>
      </c>
      <c r="F117" s="17">
        <f t="shared" si="2"/>
        <v>383000</v>
      </c>
      <c r="G117" s="18">
        <f>IF(A117="","",F117/Dashboard!$B$7)</f>
        <v>2.5533333333333332</v>
      </c>
      <c r="H117" s="15">
        <f>IF(A117="","",IF(F117&gt;=Dashboard!$B$7,1,0))</f>
        <v>1</v>
      </c>
    </row>
    <row r="118" spans="1:8" ht="21" customHeight="1">
      <c r="A118" s="15">
        <f>IF('Savings Inputs'!$B$14,112,"")</f>
        <v>112</v>
      </c>
      <c r="B118" s="16">
        <f>IF(A118="","",DATE(YEAR('Savings Inputs'!$B$10),MONTH('Savings Inputs'!$B$10)+A118+1,0))</f>
        <v>49734</v>
      </c>
      <c r="C118" s="17">
        <f t="shared" si="3"/>
        <v>383000</v>
      </c>
      <c r="D118" s="17">
        <f>IF(A118="","",'Savings Inputs'!$B$8)</f>
        <v>3000</v>
      </c>
      <c r="E118" s="17">
        <f>IF(A118="","",IF(A118='Savings Inputs'!$B$16,'Savings Inputs'!$B$9,0))</f>
        <v>0</v>
      </c>
      <c r="F118" s="17">
        <f t="shared" si="2"/>
        <v>386000</v>
      </c>
      <c r="G118" s="18">
        <f>IF(A118="","",F118/Dashboard!$B$7)</f>
        <v>2.5733333333333333</v>
      </c>
      <c r="H118" s="15">
        <f>IF(A118="","",IF(F118&gt;=Dashboard!$B$7,1,0))</f>
        <v>1</v>
      </c>
    </row>
    <row r="119" spans="1:8" ht="21" customHeight="1">
      <c r="A119" s="15">
        <f>IF('Savings Inputs'!$B$14,113,"")</f>
        <v>113</v>
      </c>
      <c r="B119" s="16">
        <f>IF(A119="","",DATE(YEAR('Savings Inputs'!$B$10),MONTH('Savings Inputs'!$B$10)+A119+1,0))</f>
        <v>49765</v>
      </c>
      <c r="C119" s="17">
        <f t="shared" si="3"/>
        <v>386000</v>
      </c>
      <c r="D119" s="17">
        <f>IF(A119="","",'Savings Inputs'!$B$8)</f>
        <v>3000</v>
      </c>
      <c r="E119" s="17">
        <f>IF(A119="","",IF(A119='Savings Inputs'!$B$16,'Savings Inputs'!$B$9,0))</f>
        <v>0</v>
      </c>
      <c r="F119" s="17">
        <f t="shared" si="2"/>
        <v>389000</v>
      </c>
      <c r="G119" s="18">
        <f>IF(A119="","",F119/Dashboard!$B$7)</f>
        <v>2.5933333333333333</v>
      </c>
      <c r="H119" s="15">
        <f>IF(A119="","",IF(F119&gt;=Dashboard!$B$7,1,0))</f>
        <v>1</v>
      </c>
    </row>
    <row r="120" spans="1:8" ht="21" customHeight="1">
      <c r="A120" s="15">
        <f>IF('Savings Inputs'!$B$14,114,"")</f>
        <v>114</v>
      </c>
      <c r="B120" s="16">
        <f>IF(A120="","",DATE(YEAR('Savings Inputs'!$B$10),MONTH('Savings Inputs'!$B$10)+A120+1,0))</f>
        <v>49795</v>
      </c>
      <c r="C120" s="17">
        <f t="shared" si="3"/>
        <v>389000</v>
      </c>
      <c r="D120" s="17">
        <f>IF(A120="","",'Savings Inputs'!$B$8)</f>
        <v>3000</v>
      </c>
      <c r="E120" s="17">
        <f>IF(A120="","",IF(A120='Savings Inputs'!$B$16,'Savings Inputs'!$B$9,0))</f>
        <v>0</v>
      </c>
      <c r="F120" s="17">
        <f t="shared" si="2"/>
        <v>392000</v>
      </c>
      <c r="G120" s="18">
        <f>IF(A120="","",F120/Dashboard!$B$7)</f>
        <v>2.6133333333333333</v>
      </c>
      <c r="H120" s="15">
        <f>IF(A120="","",IF(F120&gt;=Dashboard!$B$7,1,0))</f>
        <v>1</v>
      </c>
    </row>
    <row r="121" spans="1:8" ht="21" customHeight="1">
      <c r="A121" s="15">
        <f>IF('Savings Inputs'!$B$14,115,"")</f>
        <v>115</v>
      </c>
      <c r="B121" s="16">
        <f>IF(A121="","",DATE(YEAR('Savings Inputs'!$B$10),MONTH('Savings Inputs'!$B$10)+A121+1,0))</f>
        <v>49826</v>
      </c>
      <c r="C121" s="17">
        <f t="shared" si="3"/>
        <v>392000</v>
      </c>
      <c r="D121" s="17">
        <f>IF(A121="","",'Savings Inputs'!$B$8)</f>
        <v>3000</v>
      </c>
      <c r="E121" s="17">
        <f>IF(A121="","",IF(A121='Savings Inputs'!$B$16,'Savings Inputs'!$B$9,0))</f>
        <v>0</v>
      </c>
      <c r="F121" s="17">
        <f t="shared" si="2"/>
        <v>395000</v>
      </c>
      <c r="G121" s="18">
        <f>IF(A121="","",F121/Dashboard!$B$7)</f>
        <v>2.6333333333333333</v>
      </c>
      <c r="H121" s="15">
        <f>IF(A121="","",IF(F121&gt;=Dashboard!$B$7,1,0))</f>
        <v>1</v>
      </c>
    </row>
    <row r="122" spans="1:8" ht="21" customHeight="1">
      <c r="A122" s="15">
        <f>IF('Savings Inputs'!$B$14,116,"")</f>
        <v>116</v>
      </c>
      <c r="B122" s="16">
        <f>IF(A122="","",DATE(YEAR('Savings Inputs'!$B$10),MONTH('Savings Inputs'!$B$10)+A122+1,0))</f>
        <v>49856</v>
      </c>
      <c r="C122" s="17">
        <f t="shared" si="3"/>
        <v>395000</v>
      </c>
      <c r="D122" s="17">
        <f>IF(A122="","",'Savings Inputs'!$B$8)</f>
        <v>3000</v>
      </c>
      <c r="E122" s="17">
        <f>IF(A122="","",IF(A122='Savings Inputs'!$B$16,'Savings Inputs'!$B$9,0))</f>
        <v>0</v>
      </c>
      <c r="F122" s="17">
        <f t="shared" si="2"/>
        <v>398000</v>
      </c>
      <c r="G122" s="18">
        <f>IF(A122="","",F122/Dashboard!$B$7)</f>
        <v>2.6533333333333333</v>
      </c>
      <c r="H122" s="15">
        <f>IF(A122="","",IF(F122&gt;=Dashboard!$B$7,1,0))</f>
        <v>1</v>
      </c>
    </row>
    <row r="123" spans="1:8" ht="21" customHeight="1">
      <c r="A123" s="15">
        <f>IF('Savings Inputs'!$B$14,117,"")</f>
        <v>117</v>
      </c>
      <c r="B123" s="16">
        <f>IF(A123="","",DATE(YEAR('Savings Inputs'!$B$10),MONTH('Savings Inputs'!$B$10)+A123+1,0))</f>
        <v>49887</v>
      </c>
      <c r="C123" s="17">
        <f t="shared" si="3"/>
        <v>398000</v>
      </c>
      <c r="D123" s="17">
        <f>IF(A123="","",'Savings Inputs'!$B$8)</f>
        <v>3000</v>
      </c>
      <c r="E123" s="17">
        <f>IF(A123="","",IF(A123='Savings Inputs'!$B$16,'Savings Inputs'!$B$9,0))</f>
        <v>0</v>
      </c>
      <c r="F123" s="17">
        <f t="shared" si="2"/>
        <v>401000</v>
      </c>
      <c r="G123" s="18">
        <f>IF(A123="","",F123/Dashboard!$B$7)</f>
        <v>2.6733333333333333</v>
      </c>
      <c r="H123" s="15">
        <f>IF(A123="","",IF(F123&gt;=Dashboard!$B$7,1,0))</f>
        <v>1</v>
      </c>
    </row>
    <row r="124" spans="1:8" ht="21" customHeight="1">
      <c r="A124" s="15">
        <f>IF('Savings Inputs'!$B$14,118,"")</f>
        <v>118</v>
      </c>
      <c r="B124" s="16">
        <f>IF(A124="","",DATE(YEAR('Savings Inputs'!$B$10),MONTH('Savings Inputs'!$B$10)+A124+1,0))</f>
        <v>49918</v>
      </c>
      <c r="C124" s="17">
        <f t="shared" si="3"/>
        <v>401000</v>
      </c>
      <c r="D124" s="17">
        <f>IF(A124="","",'Savings Inputs'!$B$8)</f>
        <v>3000</v>
      </c>
      <c r="E124" s="17">
        <f>IF(A124="","",IF(A124='Savings Inputs'!$B$16,'Savings Inputs'!$B$9,0))</f>
        <v>0</v>
      </c>
      <c r="F124" s="17">
        <f t="shared" si="2"/>
        <v>404000</v>
      </c>
      <c r="G124" s="18">
        <f>IF(A124="","",F124/Dashboard!$B$7)</f>
        <v>2.6933333333333334</v>
      </c>
      <c r="H124" s="15">
        <f>IF(A124="","",IF(F124&gt;=Dashboard!$B$7,1,0))</f>
        <v>1</v>
      </c>
    </row>
    <row r="125" spans="1:8" ht="21" customHeight="1">
      <c r="A125" s="15">
        <f>IF('Savings Inputs'!$B$14,119,"")</f>
        <v>119</v>
      </c>
      <c r="B125" s="16">
        <f>IF(A125="","",DATE(YEAR('Savings Inputs'!$B$10),MONTH('Savings Inputs'!$B$10)+A125+1,0))</f>
        <v>49948</v>
      </c>
      <c r="C125" s="17">
        <f t="shared" si="3"/>
        <v>404000</v>
      </c>
      <c r="D125" s="17">
        <f>IF(A125="","",'Savings Inputs'!$B$8)</f>
        <v>3000</v>
      </c>
      <c r="E125" s="17">
        <f>IF(A125="","",IF(A125='Savings Inputs'!$B$16,'Savings Inputs'!$B$9,0))</f>
        <v>0</v>
      </c>
      <c r="F125" s="17">
        <f t="shared" si="2"/>
        <v>407000</v>
      </c>
      <c r="G125" s="18">
        <f>IF(A125="","",F125/Dashboard!$B$7)</f>
        <v>2.7133333333333334</v>
      </c>
      <c r="H125" s="15">
        <f>IF(A125="","",IF(F125&gt;=Dashboard!$B$7,1,0))</f>
        <v>1</v>
      </c>
    </row>
    <row r="126" spans="1:8" ht="21" customHeight="1">
      <c r="A126" s="15">
        <f>IF('Savings Inputs'!$B$14,120,"")</f>
        <v>120</v>
      </c>
      <c r="B126" s="16">
        <f>IF(A126="","",DATE(YEAR('Savings Inputs'!$B$10),MONTH('Savings Inputs'!$B$10)+A126+1,0))</f>
        <v>49979</v>
      </c>
      <c r="C126" s="17">
        <f t="shared" si="3"/>
        <v>407000</v>
      </c>
      <c r="D126" s="17">
        <f>IF(A126="","",'Savings Inputs'!$B$8)</f>
        <v>3000</v>
      </c>
      <c r="E126" s="17">
        <f>IF(A126="","",IF(A126='Savings Inputs'!$B$16,'Savings Inputs'!$B$9,0))</f>
        <v>0</v>
      </c>
      <c r="F126" s="17">
        <f t="shared" si="2"/>
        <v>410000</v>
      </c>
      <c r="G126" s="18">
        <f>IF(A126="","",F126/Dashboard!$B$7)</f>
        <v>2.7333333333333334</v>
      </c>
      <c r="H126" s="15">
        <f>IF(A126="","",IF(F126&gt;=Dashboard!$B$7,1,0))</f>
        <v>1</v>
      </c>
    </row>
    <row r="127" spans="1:8" ht="21" customHeight="1">
      <c r="A127" s="15">
        <f>IF('Savings Inputs'!$B$14,121,"")</f>
        <v>121</v>
      </c>
      <c r="B127" s="16">
        <f>IF(A127="","",DATE(YEAR('Savings Inputs'!$B$10),MONTH('Savings Inputs'!$B$10)+A127+1,0))</f>
        <v>50009</v>
      </c>
      <c r="C127" s="17">
        <f t="shared" si="3"/>
        <v>410000</v>
      </c>
      <c r="D127" s="17">
        <f>IF(A127="","",'Savings Inputs'!$B$8)</f>
        <v>3000</v>
      </c>
      <c r="E127" s="17">
        <f>IF(A127="","",IF(A127='Savings Inputs'!$B$16,'Savings Inputs'!$B$9,0))</f>
        <v>0</v>
      </c>
      <c r="F127" s="17">
        <f t="shared" si="2"/>
        <v>413000</v>
      </c>
      <c r="G127" s="18">
        <f>IF(A127="","",F127/Dashboard!$B$7)</f>
        <v>2.7533333333333334</v>
      </c>
      <c r="H127" s="15">
        <f>IF(A127="","",IF(F127&gt;=Dashboard!$B$7,1,0))</f>
        <v>1</v>
      </c>
    </row>
    <row r="128" spans="1:8" ht="21" customHeight="1">
      <c r="A128" s="15">
        <f>IF('Savings Inputs'!$B$14,122,"")</f>
        <v>122</v>
      </c>
      <c r="B128" s="16">
        <f>IF(A128="","",DATE(YEAR('Savings Inputs'!$B$10),MONTH('Savings Inputs'!$B$10)+A128+1,0))</f>
        <v>50040</v>
      </c>
      <c r="C128" s="17">
        <f t="shared" si="3"/>
        <v>413000</v>
      </c>
      <c r="D128" s="17">
        <f>IF(A128="","",'Savings Inputs'!$B$8)</f>
        <v>3000</v>
      </c>
      <c r="E128" s="17">
        <f>IF(A128="","",IF(A128='Savings Inputs'!$B$16,'Savings Inputs'!$B$9,0))</f>
        <v>0</v>
      </c>
      <c r="F128" s="17">
        <f t="shared" si="2"/>
        <v>416000</v>
      </c>
      <c r="G128" s="18">
        <f>IF(A128="","",F128/Dashboard!$B$7)</f>
        <v>2.7733333333333334</v>
      </c>
      <c r="H128" s="15">
        <f>IF(A128="","",IF(F128&gt;=Dashboard!$B$7,1,0))</f>
        <v>1</v>
      </c>
    </row>
    <row r="129" spans="1:8" ht="21" customHeight="1">
      <c r="A129" s="15">
        <f>IF('Savings Inputs'!$B$14,123,"")</f>
        <v>123</v>
      </c>
      <c r="B129" s="16">
        <f>IF(A129="","",DATE(YEAR('Savings Inputs'!$B$10),MONTH('Savings Inputs'!$B$10)+A129+1,0))</f>
        <v>50071</v>
      </c>
      <c r="C129" s="17">
        <f t="shared" si="3"/>
        <v>416000</v>
      </c>
      <c r="D129" s="17">
        <f>IF(A129="","",'Savings Inputs'!$B$8)</f>
        <v>3000</v>
      </c>
      <c r="E129" s="17">
        <f>IF(A129="","",IF(A129='Savings Inputs'!$B$16,'Savings Inputs'!$B$9,0))</f>
        <v>0</v>
      </c>
      <c r="F129" s="17">
        <f t="shared" si="2"/>
        <v>419000</v>
      </c>
      <c r="G129" s="18">
        <f>IF(A129="","",F129/Dashboard!$B$7)</f>
        <v>2.7933333333333334</v>
      </c>
      <c r="H129" s="15">
        <f>IF(A129="","",IF(F129&gt;=Dashboard!$B$7,1,0))</f>
        <v>1</v>
      </c>
    </row>
    <row r="130" spans="1:8" ht="21" customHeight="1">
      <c r="A130" s="15">
        <f>IF('Savings Inputs'!$B$14,124,"")</f>
        <v>124</v>
      </c>
      <c r="B130" s="16">
        <f>IF(A130="","",DATE(YEAR('Savings Inputs'!$B$10),MONTH('Savings Inputs'!$B$10)+A130+1,0))</f>
        <v>50099</v>
      </c>
      <c r="C130" s="17">
        <f t="shared" si="3"/>
        <v>419000</v>
      </c>
      <c r="D130" s="17">
        <f>IF(A130="","",'Savings Inputs'!$B$8)</f>
        <v>3000</v>
      </c>
      <c r="E130" s="17">
        <f>IF(A130="","",IF(A130='Savings Inputs'!$B$16,'Savings Inputs'!$B$9,0))</f>
        <v>0</v>
      </c>
      <c r="F130" s="17">
        <f t="shared" si="2"/>
        <v>422000</v>
      </c>
      <c r="G130" s="18">
        <f>IF(A130="","",F130/Dashboard!$B$7)</f>
        <v>2.8133333333333335</v>
      </c>
      <c r="H130" s="15">
        <f>IF(A130="","",IF(F130&gt;=Dashboard!$B$7,1,0))</f>
        <v>1</v>
      </c>
    </row>
    <row r="131" spans="1:8" ht="21" customHeight="1">
      <c r="A131" s="15">
        <f>IF('Savings Inputs'!$B$14,125,"")</f>
        <v>125</v>
      </c>
      <c r="B131" s="16">
        <f>IF(A131="","",DATE(YEAR('Savings Inputs'!$B$10),MONTH('Savings Inputs'!$B$10)+A131+1,0))</f>
        <v>50130</v>
      </c>
      <c r="C131" s="17">
        <f t="shared" si="3"/>
        <v>422000</v>
      </c>
      <c r="D131" s="17">
        <f>IF(A131="","",'Savings Inputs'!$B$8)</f>
        <v>3000</v>
      </c>
      <c r="E131" s="17">
        <f>IF(A131="","",IF(A131='Savings Inputs'!$B$16,'Savings Inputs'!$B$9,0))</f>
        <v>0</v>
      </c>
      <c r="F131" s="17">
        <f t="shared" si="2"/>
        <v>425000</v>
      </c>
      <c r="G131" s="18">
        <f>IF(A131="","",F131/Dashboard!$B$7)</f>
        <v>2.8333333333333335</v>
      </c>
      <c r="H131" s="15">
        <f>IF(A131="","",IF(F131&gt;=Dashboard!$B$7,1,0))</f>
        <v>1</v>
      </c>
    </row>
    <row r="132" spans="1:8" ht="21" customHeight="1">
      <c r="A132" s="15">
        <f>IF('Savings Inputs'!$B$14,126,"")</f>
        <v>126</v>
      </c>
      <c r="B132" s="16">
        <f>IF(A132="","",DATE(YEAR('Savings Inputs'!$B$10),MONTH('Savings Inputs'!$B$10)+A132+1,0))</f>
        <v>50160</v>
      </c>
      <c r="C132" s="17">
        <f t="shared" si="3"/>
        <v>425000</v>
      </c>
      <c r="D132" s="17">
        <f>IF(A132="","",'Savings Inputs'!$B$8)</f>
        <v>3000</v>
      </c>
      <c r="E132" s="17">
        <f>IF(A132="","",IF(A132='Savings Inputs'!$B$16,'Savings Inputs'!$B$9,0))</f>
        <v>0</v>
      </c>
      <c r="F132" s="17">
        <f t="shared" si="2"/>
        <v>428000</v>
      </c>
      <c r="G132" s="18">
        <f>IF(A132="","",F132/Dashboard!$B$7)</f>
        <v>2.8533333333333335</v>
      </c>
      <c r="H132" s="15">
        <f>IF(A132="","",IF(F132&gt;=Dashboard!$B$7,1,0))</f>
        <v>1</v>
      </c>
    </row>
    <row r="133" spans="1:8" ht="21" customHeight="1">
      <c r="A133" s="15">
        <f>IF('Savings Inputs'!$B$14,127,"")</f>
        <v>127</v>
      </c>
      <c r="B133" s="16">
        <f>IF(A133="","",DATE(YEAR('Savings Inputs'!$B$10),MONTH('Savings Inputs'!$B$10)+A133+1,0))</f>
        <v>50191</v>
      </c>
      <c r="C133" s="17">
        <f t="shared" si="3"/>
        <v>428000</v>
      </c>
      <c r="D133" s="17">
        <f>IF(A133="","",'Savings Inputs'!$B$8)</f>
        <v>3000</v>
      </c>
      <c r="E133" s="17">
        <f>IF(A133="","",IF(A133='Savings Inputs'!$B$16,'Savings Inputs'!$B$9,0))</f>
        <v>0</v>
      </c>
      <c r="F133" s="17">
        <f t="shared" si="2"/>
        <v>431000</v>
      </c>
      <c r="G133" s="18">
        <f>IF(A133="","",F133/Dashboard!$B$7)</f>
        <v>2.8733333333333335</v>
      </c>
      <c r="H133" s="15">
        <f>IF(A133="","",IF(F133&gt;=Dashboard!$B$7,1,0))</f>
        <v>1</v>
      </c>
    </row>
    <row r="134" spans="1:8" ht="21" customHeight="1">
      <c r="A134" s="15">
        <f>IF('Savings Inputs'!$B$14,128,"")</f>
        <v>128</v>
      </c>
      <c r="B134" s="16">
        <f>IF(A134="","",DATE(YEAR('Savings Inputs'!$B$10),MONTH('Savings Inputs'!$B$10)+A134+1,0))</f>
        <v>50221</v>
      </c>
      <c r="C134" s="17">
        <f t="shared" si="3"/>
        <v>431000</v>
      </c>
      <c r="D134" s="17">
        <f>IF(A134="","",'Savings Inputs'!$B$8)</f>
        <v>3000</v>
      </c>
      <c r="E134" s="17">
        <f>IF(A134="","",IF(A134='Savings Inputs'!$B$16,'Savings Inputs'!$B$9,0))</f>
        <v>0</v>
      </c>
      <c r="F134" s="17">
        <f t="shared" si="2"/>
        <v>434000</v>
      </c>
      <c r="G134" s="18">
        <f>IF(A134="","",F134/Dashboard!$B$7)</f>
        <v>2.8933333333333335</v>
      </c>
      <c r="H134" s="15">
        <f>IF(A134="","",IF(F134&gt;=Dashboard!$B$7,1,0))</f>
        <v>1</v>
      </c>
    </row>
    <row r="135" spans="1:8" ht="21" customHeight="1">
      <c r="A135" s="15">
        <f>IF('Savings Inputs'!$B$14,129,"")</f>
        <v>129</v>
      </c>
      <c r="B135" s="16">
        <f>IF(A135="","",DATE(YEAR('Savings Inputs'!$B$10),MONTH('Savings Inputs'!$B$10)+A135+1,0))</f>
        <v>50252</v>
      </c>
      <c r="C135" s="17">
        <f t="shared" si="3"/>
        <v>434000</v>
      </c>
      <c r="D135" s="17">
        <f>IF(A135="","",'Savings Inputs'!$B$8)</f>
        <v>3000</v>
      </c>
      <c r="E135" s="17">
        <f>IF(A135="","",IF(A135='Savings Inputs'!$B$16,'Savings Inputs'!$B$9,0))</f>
        <v>0</v>
      </c>
      <c r="F135" s="17">
        <f t="shared" ref="F135:F198" si="4">IF(A135="","",SUM(C135:E135))</f>
        <v>437000</v>
      </c>
      <c r="G135" s="18">
        <f>IF(A135="","",F135/Dashboard!$B$7)</f>
        <v>2.9133333333333336</v>
      </c>
      <c r="H135" s="15">
        <f>IF(A135="","",IF(F135&gt;=Dashboard!$B$7,1,0))</f>
        <v>1</v>
      </c>
    </row>
    <row r="136" spans="1:8" ht="21" customHeight="1">
      <c r="A136" s="15">
        <f>IF('Savings Inputs'!$B$14,130,"")</f>
        <v>130</v>
      </c>
      <c r="B136" s="16">
        <f>IF(A136="","",DATE(YEAR('Savings Inputs'!$B$10),MONTH('Savings Inputs'!$B$10)+A136+1,0))</f>
        <v>50283</v>
      </c>
      <c r="C136" s="17">
        <f t="shared" ref="C136:C199" si="5">IF(A136="","",F135)</f>
        <v>437000</v>
      </c>
      <c r="D136" s="17">
        <f>IF(A136="","",'Savings Inputs'!$B$8)</f>
        <v>3000</v>
      </c>
      <c r="E136" s="17">
        <f>IF(A136="","",IF(A136='Savings Inputs'!$B$16,'Savings Inputs'!$B$9,0))</f>
        <v>0</v>
      </c>
      <c r="F136" s="17">
        <f t="shared" si="4"/>
        <v>440000</v>
      </c>
      <c r="G136" s="18">
        <f>IF(A136="","",F136/Dashboard!$B$7)</f>
        <v>2.9333333333333331</v>
      </c>
      <c r="H136" s="15">
        <f>IF(A136="","",IF(F136&gt;=Dashboard!$B$7,1,0))</f>
        <v>1</v>
      </c>
    </row>
    <row r="137" spans="1:8" ht="21" customHeight="1">
      <c r="A137" s="15">
        <f>IF('Savings Inputs'!$B$14,131,"")</f>
        <v>131</v>
      </c>
      <c r="B137" s="16">
        <f>IF(A137="","",DATE(YEAR('Savings Inputs'!$B$10),MONTH('Savings Inputs'!$B$10)+A137+1,0))</f>
        <v>50313</v>
      </c>
      <c r="C137" s="17">
        <f t="shared" si="5"/>
        <v>440000</v>
      </c>
      <c r="D137" s="17">
        <f>IF(A137="","",'Savings Inputs'!$B$8)</f>
        <v>3000</v>
      </c>
      <c r="E137" s="17">
        <f>IF(A137="","",IF(A137='Savings Inputs'!$B$16,'Savings Inputs'!$B$9,0))</f>
        <v>0</v>
      </c>
      <c r="F137" s="17">
        <f t="shared" si="4"/>
        <v>443000</v>
      </c>
      <c r="G137" s="18">
        <f>IF(A137="","",F137/Dashboard!$B$7)</f>
        <v>2.9533333333333331</v>
      </c>
      <c r="H137" s="15">
        <f>IF(A137="","",IF(F137&gt;=Dashboard!$B$7,1,0))</f>
        <v>1</v>
      </c>
    </row>
    <row r="138" spans="1:8" ht="21" customHeight="1">
      <c r="A138" s="15">
        <f>IF('Savings Inputs'!$B$14,132,"")</f>
        <v>132</v>
      </c>
      <c r="B138" s="16">
        <f>IF(A138="","",DATE(YEAR('Savings Inputs'!$B$10),MONTH('Savings Inputs'!$B$10)+A138+1,0))</f>
        <v>50344</v>
      </c>
      <c r="C138" s="17">
        <f t="shared" si="5"/>
        <v>443000</v>
      </c>
      <c r="D138" s="17">
        <f>IF(A138="","",'Savings Inputs'!$B$8)</f>
        <v>3000</v>
      </c>
      <c r="E138" s="17">
        <f>IF(A138="","",IF(A138='Savings Inputs'!$B$16,'Savings Inputs'!$B$9,0))</f>
        <v>0</v>
      </c>
      <c r="F138" s="17">
        <f t="shared" si="4"/>
        <v>446000</v>
      </c>
      <c r="G138" s="18">
        <f>IF(A138="","",F138/Dashboard!$B$7)</f>
        <v>2.9733333333333332</v>
      </c>
      <c r="H138" s="15">
        <f>IF(A138="","",IF(F138&gt;=Dashboard!$B$7,1,0))</f>
        <v>1</v>
      </c>
    </row>
    <row r="139" spans="1:8" ht="21" customHeight="1">
      <c r="A139" s="15">
        <f>IF('Savings Inputs'!$B$14,133,"")</f>
        <v>133</v>
      </c>
      <c r="B139" s="16">
        <f>IF(A139="","",DATE(YEAR('Savings Inputs'!$B$10),MONTH('Savings Inputs'!$B$10)+A139+1,0))</f>
        <v>50374</v>
      </c>
      <c r="C139" s="17">
        <f t="shared" si="5"/>
        <v>446000</v>
      </c>
      <c r="D139" s="17">
        <f>IF(A139="","",'Savings Inputs'!$B$8)</f>
        <v>3000</v>
      </c>
      <c r="E139" s="17">
        <f>IF(A139="","",IF(A139='Savings Inputs'!$B$16,'Savings Inputs'!$B$9,0))</f>
        <v>0</v>
      </c>
      <c r="F139" s="17">
        <f t="shared" si="4"/>
        <v>449000</v>
      </c>
      <c r="G139" s="18">
        <f>IF(A139="","",F139/Dashboard!$B$7)</f>
        <v>2.9933333333333332</v>
      </c>
      <c r="H139" s="15">
        <f>IF(A139="","",IF(F139&gt;=Dashboard!$B$7,1,0))</f>
        <v>1</v>
      </c>
    </row>
    <row r="140" spans="1:8" ht="21" customHeight="1">
      <c r="A140" s="15">
        <f>IF('Savings Inputs'!$B$14,134,"")</f>
        <v>134</v>
      </c>
      <c r="B140" s="16">
        <f>IF(A140="","",DATE(YEAR('Savings Inputs'!$B$10),MONTH('Savings Inputs'!$B$10)+A140+1,0))</f>
        <v>50405</v>
      </c>
      <c r="C140" s="17">
        <f t="shared" si="5"/>
        <v>449000</v>
      </c>
      <c r="D140" s="17">
        <f>IF(A140="","",'Savings Inputs'!$B$8)</f>
        <v>3000</v>
      </c>
      <c r="E140" s="17">
        <f>IF(A140="","",IF(A140='Savings Inputs'!$B$16,'Savings Inputs'!$B$9,0))</f>
        <v>0</v>
      </c>
      <c r="F140" s="17">
        <f t="shared" si="4"/>
        <v>452000</v>
      </c>
      <c r="G140" s="18">
        <f>IF(A140="","",F140/Dashboard!$B$7)</f>
        <v>3.0133333333333332</v>
      </c>
      <c r="H140" s="15">
        <f>IF(A140="","",IF(F140&gt;=Dashboard!$B$7,1,0))</f>
        <v>1</v>
      </c>
    </row>
    <row r="141" spans="1:8" ht="21" customHeight="1">
      <c r="A141" s="15">
        <f>IF('Savings Inputs'!$B$14,135,"")</f>
        <v>135</v>
      </c>
      <c r="B141" s="16">
        <f>IF(A141="","",DATE(YEAR('Savings Inputs'!$B$10),MONTH('Savings Inputs'!$B$10)+A141+1,0))</f>
        <v>50436</v>
      </c>
      <c r="C141" s="17">
        <f t="shared" si="5"/>
        <v>452000</v>
      </c>
      <c r="D141" s="17">
        <f>IF(A141="","",'Savings Inputs'!$B$8)</f>
        <v>3000</v>
      </c>
      <c r="E141" s="17">
        <f>IF(A141="","",IF(A141='Savings Inputs'!$B$16,'Savings Inputs'!$B$9,0))</f>
        <v>0</v>
      </c>
      <c r="F141" s="17">
        <f t="shared" si="4"/>
        <v>455000</v>
      </c>
      <c r="G141" s="18">
        <f>IF(A141="","",F141/Dashboard!$B$7)</f>
        <v>3.0333333333333332</v>
      </c>
      <c r="H141" s="15">
        <f>IF(A141="","",IF(F141&gt;=Dashboard!$B$7,1,0))</f>
        <v>1</v>
      </c>
    </row>
    <row r="142" spans="1:8" ht="21" customHeight="1">
      <c r="A142" s="15">
        <f>IF('Savings Inputs'!$B$14,136,"")</f>
        <v>136</v>
      </c>
      <c r="B142" s="16">
        <f>IF(A142="","",DATE(YEAR('Savings Inputs'!$B$10),MONTH('Savings Inputs'!$B$10)+A142+1,0))</f>
        <v>50464</v>
      </c>
      <c r="C142" s="17">
        <f t="shared" si="5"/>
        <v>455000</v>
      </c>
      <c r="D142" s="17">
        <f>IF(A142="","",'Savings Inputs'!$B$8)</f>
        <v>3000</v>
      </c>
      <c r="E142" s="17">
        <f>IF(A142="","",IF(A142='Savings Inputs'!$B$16,'Savings Inputs'!$B$9,0))</f>
        <v>0</v>
      </c>
      <c r="F142" s="17">
        <f t="shared" si="4"/>
        <v>458000</v>
      </c>
      <c r="G142" s="18">
        <f>IF(A142="","",F142/Dashboard!$B$7)</f>
        <v>3.0533333333333332</v>
      </c>
      <c r="H142" s="15">
        <f>IF(A142="","",IF(F142&gt;=Dashboard!$B$7,1,0))</f>
        <v>1</v>
      </c>
    </row>
    <row r="143" spans="1:8" ht="21" customHeight="1">
      <c r="A143" s="15">
        <f>IF('Savings Inputs'!$B$14,137,"")</f>
        <v>137</v>
      </c>
      <c r="B143" s="16">
        <f>IF(A143="","",DATE(YEAR('Savings Inputs'!$B$10),MONTH('Savings Inputs'!$B$10)+A143+1,0))</f>
        <v>50495</v>
      </c>
      <c r="C143" s="17">
        <f t="shared" si="5"/>
        <v>458000</v>
      </c>
      <c r="D143" s="17">
        <f>IF(A143="","",'Savings Inputs'!$B$8)</f>
        <v>3000</v>
      </c>
      <c r="E143" s="17">
        <f>IF(A143="","",IF(A143='Savings Inputs'!$B$16,'Savings Inputs'!$B$9,0))</f>
        <v>0</v>
      </c>
      <c r="F143" s="17">
        <f t="shared" si="4"/>
        <v>461000</v>
      </c>
      <c r="G143" s="18">
        <f>IF(A143="","",F143/Dashboard!$B$7)</f>
        <v>3.0733333333333333</v>
      </c>
      <c r="H143" s="15">
        <f>IF(A143="","",IF(F143&gt;=Dashboard!$B$7,1,0))</f>
        <v>1</v>
      </c>
    </row>
    <row r="144" spans="1:8" ht="21" customHeight="1">
      <c r="A144" s="15">
        <f>IF('Savings Inputs'!$B$14,138,"")</f>
        <v>138</v>
      </c>
      <c r="B144" s="16">
        <f>IF(A144="","",DATE(YEAR('Savings Inputs'!$B$10),MONTH('Savings Inputs'!$B$10)+A144+1,0))</f>
        <v>50525</v>
      </c>
      <c r="C144" s="17">
        <f t="shared" si="5"/>
        <v>461000</v>
      </c>
      <c r="D144" s="17">
        <f>IF(A144="","",'Savings Inputs'!$B$8)</f>
        <v>3000</v>
      </c>
      <c r="E144" s="17">
        <f>IF(A144="","",IF(A144='Savings Inputs'!$B$16,'Savings Inputs'!$B$9,0))</f>
        <v>0</v>
      </c>
      <c r="F144" s="17">
        <f t="shared" si="4"/>
        <v>464000</v>
      </c>
      <c r="G144" s="18">
        <f>IF(A144="","",F144/Dashboard!$B$7)</f>
        <v>3.0933333333333333</v>
      </c>
      <c r="H144" s="15">
        <f>IF(A144="","",IF(F144&gt;=Dashboard!$B$7,1,0))</f>
        <v>1</v>
      </c>
    </row>
    <row r="145" spans="1:8" ht="21" customHeight="1">
      <c r="A145" s="15">
        <f>IF('Savings Inputs'!$B$14,139,"")</f>
        <v>139</v>
      </c>
      <c r="B145" s="16">
        <f>IF(A145="","",DATE(YEAR('Savings Inputs'!$B$10),MONTH('Savings Inputs'!$B$10)+A145+1,0))</f>
        <v>50556</v>
      </c>
      <c r="C145" s="17">
        <f t="shared" si="5"/>
        <v>464000</v>
      </c>
      <c r="D145" s="17">
        <f>IF(A145="","",'Savings Inputs'!$B$8)</f>
        <v>3000</v>
      </c>
      <c r="E145" s="17">
        <f>IF(A145="","",IF(A145='Savings Inputs'!$B$16,'Savings Inputs'!$B$9,0))</f>
        <v>0</v>
      </c>
      <c r="F145" s="17">
        <f t="shared" si="4"/>
        <v>467000</v>
      </c>
      <c r="G145" s="18">
        <f>IF(A145="","",F145/Dashboard!$B$7)</f>
        <v>3.1133333333333333</v>
      </c>
      <c r="H145" s="15">
        <f>IF(A145="","",IF(F145&gt;=Dashboard!$B$7,1,0))</f>
        <v>1</v>
      </c>
    </row>
    <row r="146" spans="1:8" ht="21" customHeight="1">
      <c r="A146" s="15">
        <f>IF('Savings Inputs'!$B$14,140,"")</f>
        <v>140</v>
      </c>
      <c r="B146" s="16">
        <f>IF(A146="","",DATE(YEAR('Savings Inputs'!$B$10),MONTH('Savings Inputs'!$B$10)+A146+1,0))</f>
        <v>50586</v>
      </c>
      <c r="C146" s="17">
        <f t="shared" si="5"/>
        <v>467000</v>
      </c>
      <c r="D146" s="17">
        <f>IF(A146="","",'Savings Inputs'!$B$8)</f>
        <v>3000</v>
      </c>
      <c r="E146" s="17">
        <f>IF(A146="","",IF(A146='Savings Inputs'!$B$16,'Savings Inputs'!$B$9,0))</f>
        <v>0</v>
      </c>
      <c r="F146" s="17">
        <f t="shared" si="4"/>
        <v>470000</v>
      </c>
      <c r="G146" s="18">
        <f>IF(A146="","",F146/Dashboard!$B$7)</f>
        <v>3.1333333333333333</v>
      </c>
      <c r="H146" s="15">
        <f>IF(A146="","",IF(F146&gt;=Dashboard!$B$7,1,0))</f>
        <v>1</v>
      </c>
    </row>
    <row r="147" spans="1:8" ht="21" customHeight="1">
      <c r="A147" s="15">
        <f>IF('Savings Inputs'!$B$14,141,"")</f>
        <v>141</v>
      </c>
      <c r="B147" s="16">
        <f>IF(A147="","",DATE(YEAR('Savings Inputs'!$B$10),MONTH('Savings Inputs'!$B$10)+A147+1,0))</f>
        <v>50617</v>
      </c>
      <c r="C147" s="17">
        <f t="shared" si="5"/>
        <v>470000</v>
      </c>
      <c r="D147" s="17">
        <f>IF(A147="","",'Savings Inputs'!$B$8)</f>
        <v>3000</v>
      </c>
      <c r="E147" s="17">
        <f>IF(A147="","",IF(A147='Savings Inputs'!$B$16,'Savings Inputs'!$B$9,0))</f>
        <v>0</v>
      </c>
      <c r="F147" s="17">
        <f t="shared" si="4"/>
        <v>473000</v>
      </c>
      <c r="G147" s="18">
        <f>IF(A147="","",F147/Dashboard!$B$7)</f>
        <v>3.1533333333333333</v>
      </c>
      <c r="H147" s="15">
        <f>IF(A147="","",IF(F147&gt;=Dashboard!$B$7,1,0))</f>
        <v>1</v>
      </c>
    </row>
    <row r="148" spans="1:8" ht="21" customHeight="1">
      <c r="A148" s="15">
        <f>IF('Savings Inputs'!$B$14,142,"")</f>
        <v>142</v>
      </c>
      <c r="B148" s="16">
        <f>IF(A148="","",DATE(YEAR('Savings Inputs'!$B$10),MONTH('Savings Inputs'!$B$10)+A148+1,0))</f>
        <v>50648</v>
      </c>
      <c r="C148" s="17">
        <f t="shared" si="5"/>
        <v>473000</v>
      </c>
      <c r="D148" s="17">
        <f>IF(A148="","",'Savings Inputs'!$B$8)</f>
        <v>3000</v>
      </c>
      <c r="E148" s="17">
        <f>IF(A148="","",IF(A148='Savings Inputs'!$B$16,'Savings Inputs'!$B$9,0))</f>
        <v>0</v>
      </c>
      <c r="F148" s="17">
        <f t="shared" si="4"/>
        <v>476000</v>
      </c>
      <c r="G148" s="18">
        <f>IF(A148="","",F148/Dashboard!$B$7)</f>
        <v>3.1733333333333333</v>
      </c>
      <c r="H148" s="15">
        <f>IF(A148="","",IF(F148&gt;=Dashboard!$B$7,1,0))</f>
        <v>1</v>
      </c>
    </row>
    <row r="149" spans="1:8" ht="21" customHeight="1">
      <c r="A149" s="15">
        <f>IF('Savings Inputs'!$B$14,143,"")</f>
        <v>143</v>
      </c>
      <c r="B149" s="16">
        <f>IF(A149="","",DATE(YEAR('Savings Inputs'!$B$10),MONTH('Savings Inputs'!$B$10)+A149+1,0))</f>
        <v>50678</v>
      </c>
      <c r="C149" s="17">
        <f t="shared" si="5"/>
        <v>476000</v>
      </c>
      <c r="D149" s="17">
        <f>IF(A149="","",'Savings Inputs'!$B$8)</f>
        <v>3000</v>
      </c>
      <c r="E149" s="17">
        <f>IF(A149="","",IF(A149='Savings Inputs'!$B$16,'Savings Inputs'!$B$9,0))</f>
        <v>0</v>
      </c>
      <c r="F149" s="17">
        <f t="shared" si="4"/>
        <v>479000</v>
      </c>
      <c r="G149" s="18">
        <f>IF(A149="","",F149/Dashboard!$B$7)</f>
        <v>3.1933333333333334</v>
      </c>
      <c r="H149" s="15">
        <f>IF(A149="","",IF(F149&gt;=Dashboard!$B$7,1,0))</f>
        <v>1</v>
      </c>
    </row>
    <row r="150" spans="1:8" ht="21" customHeight="1">
      <c r="A150" s="15">
        <f>IF('Savings Inputs'!$B$14,144,"")</f>
        <v>144</v>
      </c>
      <c r="B150" s="16">
        <f>IF(A150="","",DATE(YEAR('Savings Inputs'!$B$10),MONTH('Savings Inputs'!$B$10)+A150+1,0))</f>
        <v>50709</v>
      </c>
      <c r="C150" s="17">
        <f t="shared" si="5"/>
        <v>479000</v>
      </c>
      <c r="D150" s="17">
        <f>IF(A150="","",'Savings Inputs'!$B$8)</f>
        <v>3000</v>
      </c>
      <c r="E150" s="17">
        <f>IF(A150="","",IF(A150='Savings Inputs'!$B$16,'Savings Inputs'!$B$9,0))</f>
        <v>0</v>
      </c>
      <c r="F150" s="17">
        <f t="shared" si="4"/>
        <v>482000</v>
      </c>
      <c r="G150" s="18">
        <f>IF(A150="","",F150/Dashboard!$B$7)</f>
        <v>3.2133333333333334</v>
      </c>
      <c r="H150" s="15">
        <f>IF(A150="","",IF(F150&gt;=Dashboard!$B$7,1,0))</f>
        <v>1</v>
      </c>
    </row>
    <row r="151" spans="1:8" ht="21" customHeight="1">
      <c r="A151" s="15">
        <f>IF('Savings Inputs'!$B$14,145,"")</f>
        <v>145</v>
      </c>
      <c r="B151" s="16">
        <f>IF(A151="","",DATE(YEAR('Savings Inputs'!$B$10),MONTH('Savings Inputs'!$B$10)+A151+1,0))</f>
        <v>50739</v>
      </c>
      <c r="C151" s="17">
        <f t="shared" si="5"/>
        <v>482000</v>
      </c>
      <c r="D151" s="17">
        <f>IF(A151="","",'Savings Inputs'!$B$8)</f>
        <v>3000</v>
      </c>
      <c r="E151" s="17">
        <f>IF(A151="","",IF(A151='Savings Inputs'!$B$16,'Savings Inputs'!$B$9,0))</f>
        <v>0</v>
      </c>
      <c r="F151" s="17">
        <f t="shared" si="4"/>
        <v>485000</v>
      </c>
      <c r="G151" s="18">
        <f>IF(A151="","",F151/Dashboard!$B$7)</f>
        <v>3.2333333333333334</v>
      </c>
      <c r="H151" s="15">
        <f>IF(A151="","",IF(F151&gt;=Dashboard!$B$7,1,0))</f>
        <v>1</v>
      </c>
    </row>
    <row r="152" spans="1:8" ht="21" customHeight="1">
      <c r="A152" s="15">
        <f>IF('Savings Inputs'!$B$14,146,"")</f>
        <v>146</v>
      </c>
      <c r="B152" s="16">
        <f>IF(A152="","",DATE(YEAR('Savings Inputs'!$B$10),MONTH('Savings Inputs'!$B$10)+A152+1,0))</f>
        <v>50770</v>
      </c>
      <c r="C152" s="17">
        <f t="shared" si="5"/>
        <v>485000</v>
      </c>
      <c r="D152" s="17">
        <f>IF(A152="","",'Savings Inputs'!$B$8)</f>
        <v>3000</v>
      </c>
      <c r="E152" s="17">
        <f>IF(A152="","",IF(A152='Savings Inputs'!$B$16,'Savings Inputs'!$B$9,0))</f>
        <v>0</v>
      </c>
      <c r="F152" s="17">
        <f t="shared" si="4"/>
        <v>488000</v>
      </c>
      <c r="G152" s="18">
        <f>IF(A152="","",F152/Dashboard!$B$7)</f>
        <v>3.2533333333333334</v>
      </c>
      <c r="H152" s="15">
        <f>IF(A152="","",IF(F152&gt;=Dashboard!$B$7,1,0))</f>
        <v>1</v>
      </c>
    </row>
    <row r="153" spans="1:8" ht="21" customHeight="1">
      <c r="A153" s="15">
        <f>IF('Savings Inputs'!$B$14,147,"")</f>
        <v>147</v>
      </c>
      <c r="B153" s="16">
        <f>IF(A153="","",DATE(YEAR('Savings Inputs'!$B$10),MONTH('Savings Inputs'!$B$10)+A153+1,0))</f>
        <v>50801</v>
      </c>
      <c r="C153" s="17">
        <f t="shared" si="5"/>
        <v>488000</v>
      </c>
      <c r="D153" s="17">
        <f>IF(A153="","",'Savings Inputs'!$B$8)</f>
        <v>3000</v>
      </c>
      <c r="E153" s="17">
        <f>IF(A153="","",IF(A153='Savings Inputs'!$B$16,'Savings Inputs'!$B$9,0))</f>
        <v>0</v>
      </c>
      <c r="F153" s="17">
        <f t="shared" si="4"/>
        <v>491000</v>
      </c>
      <c r="G153" s="18">
        <f>IF(A153="","",F153/Dashboard!$B$7)</f>
        <v>3.2733333333333334</v>
      </c>
      <c r="H153" s="15">
        <f>IF(A153="","",IF(F153&gt;=Dashboard!$B$7,1,0))</f>
        <v>1</v>
      </c>
    </row>
    <row r="154" spans="1:8" ht="21" customHeight="1">
      <c r="A154" s="15">
        <f>IF('Savings Inputs'!$B$14,148,"")</f>
        <v>148</v>
      </c>
      <c r="B154" s="16">
        <f>IF(A154="","",DATE(YEAR('Savings Inputs'!$B$10),MONTH('Savings Inputs'!$B$10)+A154+1,0))</f>
        <v>50829</v>
      </c>
      <c r="C154" s="17">
        <f t="shared" si="5"/>
        <v>491000</v>
      </c>
      <c r="D154" s="17">
        <f>IF(A154="","",'Savings Inputs'!$B$8)</f>
        <v>3000</v>
      </c>
      <c r="E154" s="17">
        <f>IF(A154="","",IF(A154='Savings Inputs'!$B$16,'Savings Inputs'!$B$9,0))</f>
        <v>0</v>
      </c>
      <c r="F154" s="17">
        <f t="shared" si="4"/>
        <v>494000</v>
      </c>
      <c r="G154" s="18">
        <f>IF(A154="","",F154/Dashboard!$B$7)</f>
        <v>3.2933333333333334</v>
      </c>
      <c r="H154" s="15">
        <f>IF(A154="","",IF(F154&gt;=Dashboard!$B$7,1,0))</f>
        <v>1</v>
      </c>
    </row>
    <row r="155" spans="1:8" ht="21" customHeight="1">
      <c r="A155" s="15">
        <f>IF('Savings Inputs'!$B$14,149,"")</f>
        <v>149</v>
      </c>
      <c r="B155" s="16">
        <f>IF(A155="","",DATE(YEAR('Savings Inputs'!$B$10),MONTH('Savings Inputs'!$B$10)+A155+1,0))</f>
        <v>50860</v>
      </c>
      <c r="C155" s="17">
        <f t="shared" si="5"/>
        <v>494000</v>
      </c>
      <c r="D155" s="17">
        <f>IF(A155="","",'Savings Inputs'!$B$8)</f>
        <v>3000</v>
      </c>
      <c r="E155" s="17">
        <f>IF(A155="","",IF(A155='Savings Inputs'!$B$16,'Savings Inputs'!$B$9,0))</f>
        <v>0</v>
      </c>
      <c r="F155" s="17">
        <f t="shared" si="4"/>
        <v>497000</v>
      </c>
      <c r="G155" s="18">
        <f>IF(A155="","",F155/Dashboard!$B$7)</f>
        <v>3.3133333333333335</v>
      </c>
      <c r="H155" s="15">
        <f>IF(A155="","",IF(F155&gt;=Dashboard!$B$7,1,0))</f>
        <v>1</v>
      </c>
    </row>
    <row r="156" spans="1:8" ht="21" customHeight="1">
      <c r="A156" s="15">
        <f>IF('Savings Inputs'!$B$14,150,"")</f>
        <v>150</v>
      </c>
      <c r="B156" s="16">
        <f>IF(A156="","",DATE(YEAR('Savings Inputs'!$B$10),MONTH('Savings Inputs'!$B$10)+A156+1,0))</f>
        <v>50890</v>
      </c>
      <c r="C156" s="17">
        <f t="shared" si="5"/>
        <v>497000</v>
      </c>
      <c r="D156" s="17">
        <f>IF(A156="","",'Savings Inputs'!$B$8)</f>
        <v>3000</v>
      </c>
      <c r="E156" s="17">
        <f>IF(A156="","",IF(A156='Savings Inputs'!$B$16,'Savings Inputs'!$B$9,0))</f>
        <v>0</v>
      </c>
      <c r="F156" s="17">
        <f t="shared" si="4"/>
        <v>500000</v>
      </c>
      <c r="G156" s="18">
        <f>IF(A156="","",F156/Dashboard!$B$7)</f>
        <v>3.3333333333333335</v>
      </c>
      <c r="H156" s="15">
        <f>IF(A156="","",IF(F156&gt;=Dashboard!$B$7,1,0))</f>
        <v>1</v>
      </c>
    </row>
    <row r="157" spans="1:8" ht="21" customHeight="1">
      <c r="A157" s="15">
        <f>IF('Savings Inputs'!$B$14,151,"")</f>
        <v>151</v>
      </c>
      <c r="B157" s="16">
        <f>IF(A157="","",DATE(YEAR('Savings Inputs'!$B$10),MONTH('Savings Inputs'!$B$10)+A157+1,0))</f>
        <v>50921</v>
      </c>
      <c r="C157" s="17">
        <f t="shared" si="5"/>
        <v>500000</v>
      </c>
      <c r="D157" s="17">
        <f>IF(A157="","",'Savings Inputs'!$B$8)</f>
        <v>3000</v>
      </c>
      <c r="E157" s="17">
        <f>IF(A157="","",IF(A157='Savings Inputs'!$B$16,'Savings Inputs'!$B$9,0))</f>
        <v>0</v>
      </c>
      <c r="F157" s="17">
        <f t="shared" si="4"/>
        <v>503000</v>
      </c>
      <c r="G157" s="18">
        <f>IF(A157="","",F157/Dashboard!$B$7)</f>
        <v>3.3533333333333335</v>
      </c>
      <c r="H157" s="15">
        <f>IF(A157="","",IF(F157&gt;=Dashboard!$B$7,1,0))</f>
        <v>1</v>
      </c>
    </row>
    <row r="158" spans="1:8" ht="21" customHeight="1">
      <c r="A158" s="15">
        <f>IF('Savings Inputs'!$B$14,152,"")</f>
        <v>152</v>
      </c>
      <c r="B158" s="16">
        <f>IF(A158="","",DATE(YEAR('Savings Inputs'!$B$10),MONTH('Savings Inputs'!$B$10)+A158+1,0))</f>
        <v>50951</v>
      </c>
      <c r="C158" s="17">
        <f t="shared" si="5"/>
        <v>503000</v>
      </c>
      <c r="D158" s="17">
        <f>IF(A158="","",'Savings Inputs'!$B$8)</f>
        <v>3000</v>
      </c>
      <c r="E158" s="17">
        <f>IF(A158="","",IF(A158='Savings Inputs'!$B$16,'Savings Inputs'!$B$9,0))</f>
        <v>0</v>
      </c>
      <c r="F158" s="17">
        <f t="shared" si="4"/>
        <v>506000</v>
      </c>
      <c r="G158" s="18">
        <f>IF(A158="","",F158/Dashboard!$B$7)</f>
        <v>3.3733333333333335</v>
      </c>
      <c r="H158" s="15">
        <f>IF(A158="","",IF(F158&gt;=Dashboard!$B$7,1,0))</f>
        <v>1</v>
      </c>
    </row>
    <row r="159" spans="1:8" ht="21" customHeight="1">
      <c r="A159" s="15">
        <f>IF('Savings Inputs'!$B$14,153,"")</f>
        <v>153</v>
      </c>
      <c r="B159" s="16">
        <f>IF(A159="","",DATE(YEAR('Savings Inputs'!$B$10),MONTH('Savings Inputs'!$B$10)+A159+1,0))</f>
        <v>50982</v>
      </c>
      <c r="C159" s="17">
        <f t="shared" si="5"/>
        <v>506000</v>
      </c>
      <c r="D159" s="17">
        <f>IF(A159="","",'Savings Inputs'!$B$8)</f>
        <v>3000</v>
      </c>
      <c r="E159" s="17">
        <f>IF(A159="","",IF(A159='Savings Inputs'!$B$16,'Savings Inputs'!$B$9,0))</f>
        <v>0</v>
      </c>
      <c r="F159" s="17">
        <f t="shared" si="4"/>
        <v>509000</v>
      </c>
      <c r="G159" s="18">
        <f>IF(A159="","",F159/Dashboard!$B$7)</f>
        <v>3.3933333333333335</v>
      </c>
      <c r="H159" s="15">
        <f>IF(A159="","",IF(F159&gt;=Dashboard!$B$7,1,0))</f>
        <v>1</v>
      </c>
    </row>
    <row r="160" spans="1:8" ht="21" customHeight="1">
      <c r="A160" s="15">
        <f>IF('Savings Inputs'!$B$14,154,"")</f>
        <v>154</v>
      </c>
      <c r="B160" s="16">
        <f>IF(A160="","",DATE(YEAR('Savings Inputs'!$B$10),MONTH('Savings Inputs'!$B$10)+A160+1,0))</f>
        <v>51013</v>
      </c>
      <c r="C160" s="17">
        <f t="shared" si="5"/>
        <v>509000</v>
      </c>
      <c r="D160" s="17">
        <f>IF(A160="","",'Savings Inputs'!$B$8)</f>
        <v>3000</v>
      </c>
      <c r="E160" s="17">
        <f>IF(A160="","",IF(A160='Savings Inputs'!$B$16,'Savings Inputs'!$B$9,0))</f>
        <v>0</v>
      </c>
      <c r="F160" s="17">
        <f t="shared" si="4"/>
        <v>512000</v>
      </c>
      <c r="G160" s="18">
        <f>IF(A160="","",F160/Dashboard!$B$7)</f>
        <v>3.4133333333333336</v>
      </c>
      <c r="H160" s="15">
        <f>IF(A160="","",IF(F160&gt;=Dashboard!$B$7,1,0))</f>
        <v>1</v>
      </c>
    </row>
    <row r="161" spans="1:8" ht="21" customHeight="1">
      <c r="A161" s="15">
        <f>IF('Savings Inputs'!$B$14,155,"")</f>
        <v>155</v>
      </c>
      <c r="B161" s="16">
        <f>IF(A161="","",DATE(YEAR('Savings Inputs'!$B$10),MONTH('Savings Inputs'!$B$10)+A161+1,0))</f>
        <v>51043</v>
      </c>
      <c r="C161" s="17">
        <f t="shared" si="5"/>
        <v>512000</v>
      </c>
      <c r="D161" s="17">
        <f>IF(A161="","",'Savings Inputs'!$B$8)</f>
        <v>3000</v>
      </c>
      <c r="E161" s="17">
        <f>IF(A161="","",IF(A161='Savings Inputs'!$B$16,'Savings Inputs'!$B$9,0))</f>
        <v>0</v>
      </c>
      <c r="F161" s="17">
        <f t="shared" si="4"/>
        <v>515000</v>
      </c>
      <c r="G161" s="18">
        <f>IF(A161="","",F161/Dashboard!$B$7)</f>
        <v>3.4333333333333331</v>
      </c>
      <c r="H161" s="15">
        <f>IF(A161="","",IF(F161&gt;=Dashboard!$B$7,1,0))</f>
        <v>1</v>
      </c>
    </row>
    <row r="162" spans="1:8" ht="21" customHeight="1">
      <c r="A162" s="15">
        <f>IF('Savings Inputs'!$B$14,156,"")</f>
        <v>156</v>
      </c>
      <c r="B162" s="16">
        <f>IF(A162="","",DATE(YEAR('Savings Inputs'!$B$10),MONTH('Savings Inputs'!$B$10)+A162+1,0))</f>
        <v>51074</v>
      </c>
      <c r="C162" s="17">
        <f t="shared" si="5"/>
        <v>515000</v>
      </c>
      <c r="D162" s="17">
        <f>IF(A162="","",'Savings Inputs'!$B$8)</f>
        <v>3000</v>
      </c>
      <c r="E162" s="17">
        <f>IF(A162="","",IF(A162='Savings Inputs'!$B$16,'Savings Inputs'!$B$9,0))</f>
        <v>0</v>
      </c>
      <c r="F162" s="17">
        <f t="shared" si="4"/>
        <v>518000</v>
      </c>
      <c r="G162" s="18">
        <f>IF(A162="","",F162/Dashboard!$B$7)</f>
        <v>3.4533333333333331</v>
      </c>
      <c r="H162" s="15">
        <f>IF(A162="","",IF(F162&gt;=Dashboard!$B$7,1,0))</f>
        <v>1</v>
      </c>
    </row>
    <row r="163" spans="1:8" ht="21" customHeight="1">
      <c r="A163" s="15">
        <f>IF('Savings Inputs'!$B$14,157,"")</f>
        <v>157</v>
      </c>
      <c r="B163" s="16">
        <f>IF(A163="","",DATE(YEAR('Savings Inputs'!$B$10),MONTH('Savings Inputs'!$B$10)+A163+1,0))</f>
        <v>51104</v>
      </c>
      <c r="C163" s="17">
        <f t="shared" si="5"/>
        <v>518000</v>
      </c>
      <c r="D163" s="17">
        <f>IF(A163="","",'Savings Inputs'!$B$8)</f>
        <v>3000</v>
      </c>
      <c r="E163" s="17">
        <f>IF(A163="","",IF(A163='Savings Inputs'!$B$16,'Savings Inputs'!$B$9,0))</f>
        <v>0</v>
      </c>
      <c r="F163" s="17">
        <f t="shared" si="4"/>
        <v>521000</v>
      </c>
      <c r="G163" s="18">
        <f>IF(A163="","",F163/Dashboard!$B$7)</f>
        <v>3.4733333333333332</v>
      </c>
      <c r="H163" s="15">
        <f>IF(A163="","",IF(F163&gt;=Dashboard!$B$7,1,0))</f>
        <v>1</v>
      </c>
    </row>
    <row r="164" spans="1:8" ht="21" customHeight="1">
      <c r="A164" s="15">
        <f>IF('Savings Inputs'!$B$14,158,"")</f>
        <v>158</v>
      </c>
      <c r="B164" s="16">
        <f>IF(A164="","",DATE(YEAR('Savings Inputs'!$B$10),MONTH('Savings Inputs'!$B$10)+A164+1,0))</f>
        <v>51135</v>
      </c>
      <c r="C164" s="17">
        <f t="shared" si="5"/>
        <v>521000</v>
      </c>
      <c r="D164" s="17">
        <f>IF(A164="","",'Savings Inputs'!$B$8)</f>
        <v>3000</v>
      </c>
      <c r="E164" s="17">
        <f>IF(A164="","",IF(A164='Savings Inputs'!$B$16,'Savings Inputs'!$B$9,0))</f>
        <v>0</v>
      </c>
      <c r="F164" s="17">
        <f t="shared" si="4"/>
        <v>524000</v>
      </c>
      <c r="G164" s="18">
        <f>IF(A164="","",F164/Dashboard!$B$7)</f>
        <v>3.4933333333333332</v>
      </c>
      <c r="H164" s="15">
        <f>IF(A164="","",IF(F164&gt;=Dashboard!$B$7,1,0))</f>
        <v>1</v>
      </c>
    </row>
    <row r="165" spans="1:8" ht="21" customHeight="1">
      <c r="A165" s="15">
        <f>IF('Savings Inputs'!$B$14,159,"")</f>
        <v>159</v>
      </c>
      <c r="B165" s="16">
        <f>IF(A165="","",DATE(YEAR('Savings Inputs'!$B$10),MONTH('Savings Inputs'!$B$10)+A165+1,0))</f>
        <v>51166</v>
      </c>
      <c r="C165" s="17">
        <f t="shared" si="5"/>
        <v>524000</v>
      </c>
      <c r="D165" s="17">
        <f>IF(A165="","",'Savings Inputs'!$B$8)</f>
        <v>3000</v>
      </c>
      <c r="E165" s="17">
        <f>IF(A165="","",IF(A165='Savings Inputs'!$B$16,'Savings Inputs'!$B$9,0))</f>
        <v>0</v>
      </c>
      <c r="F165" s="17">
        <f t="shared" si="4"/>
        <v>527000</v>
      </c>
      <c r="G165" s="18">
        <f>IF(A165="","",F165/Dashboard!$B$7)</f>
        <v>3.5133333333333332</v>
      </c>
      <c r="H165" s="15">
        <f>IF(A165="","",IF(F165&gt;=Dashboard!$B$7,1,0))</f>
        <v>1</v>
      </c>
    </row>
    <row r="166" spans="1:8" ht="21" customHeight="1">
      <c r="A166" s="15">
        <f>IF('Savings Inputs'!$B$14,160,"")</f>
        <v>160</v>
      </c>
      <c r="B166" s="16">
        <f>IF(A166="","",DATE(YEAR('Savings Inputs'!$B$10),MONTH('Savings Inputs'!$B$10)+A166+1,0))</f>
        <v>51195</v>
      </c>
      <c r="C166" s="17">
        <f t="shared" si="5"/>
        <v>527000</v>
      </c>
      <c r="D166" s="17">
        <f>IF(A166="","",'Savings Inputs'!$B$8)</f>
        <v>3000</v>
      </c>
      <c r="E166" s="17">
        <f>IF(A166="","",IF(A166='Savings Inputs'!$B$16,'Savings Inputs'!$B$9,0))</f>
        <v>0</v>
      </c>
      <c r="F166" s="17">
        <f t="shared" si="4"/>
        <v>530000</v>
      </c>
      <c r="G166" s="18">
        <f>IF(A166="","",F166/Dashboard!$B$7)</f>
        <v>3.5333333333333332</v>
      </c>
      <c r="H166" s="15">
        <f>IF(A166="","",IF(F166&gt;=Dashboard!$B$7,1,0))</f>
        <v>1</v>
      </c>
    </row>
    <row r="167" spans="1:8" ht="21" customHeight="1">
      <c r="A167" s="15">
        <f>IF('Savings Inputs'!$B$14,161,"")</f>
        <v>161</v>
      </c>
      <c r="B167" s="16">
        <f>IF(A167="","",DATE(YEAR('Savings Inputs'!$B$10),MONTH('Savings Inputs'!$B$10)+A167+1,0))</f>
        <v>51226</v>
      </c>
      <c r="C167" s="17">
        <f t="shared" si="5"/>
        <v>530000</v>
      </c>
      <c r="D167" s="17">
        <f>IF(A167="","",'Savings Inputs'!$B$8)</f>
        <v>3000</v>
      </c>
      <c r="E167" s="17">
        <f>IF(A167="","",IF(A167='Savings Inputs'!$B$16,'Savings Inputs'!$B$9,0))</f>
        <v>0</v>
      </c>
      <c r="F167" s="17">
        <f t="shared" si="4"/>
        <v>533000</v>
      </c>
      <c r="G167" s="18">
        <f>IF(A167="","",F167/Dashboard!$B$7)</f>
        <v>3.5533333333333332</v>
      </c>
      <c r="H167" s="15">
        <f>IF(A167="","",IF(F167&gt;=Dashboard!$B$7,1,0))</f>
        <v>1</v>
      </c>
    </row>
    <row r="168" spans="1:8" ht="21" customHeight="1">
      <c r="A168" s="15">
        <f>IF('Savings Inputs'!$B$14,162,"")</f>
        <v>162</v>
      </c>
      <c r="B168" s="16">
        <f>IF(A168="","",DATE(YEAR('Savings Inputs'!$B$10),MONTH('Savings Inputs'!$B$10)+A168+1,0))</f>
        <v>51256</v>
      </c>
      <c r="C168" s="17">
        <f t="shared" si="5"/>
        <v>533000</v>
      </c>
      <c r="D168" s="17">
        <f>IF(A168="","",'Savings Inputs'!$B$8)</f>
        <v>3000</v>
      </c>
      <c r="E168" s="17">
        <f>IF(A168="","",IF(A168='Savings Inputs'!$B$16,'Savings Inputs'!$B$9,0))</f>
        <v>0</v>
      </c>
      <c r="F168" s="17">
        <f t="shared" si="4"/>
        <v>536000</v>
      </c>
      <c r="G168" s="18">
        <f>IF(A168="","",F168/Dashboard!$B$7)</f>
        <v>3.5733333333333333</v>
      </c>
      <c r="H168" s="15">
        <f>IF(A168="","",IF(F168&gt;=Dashboard!$B$7,1,0))</f>
        <v>1</v>
      </c>
    </row>
    <row r="169" spans="1:8" ht="21" customHeight="1">
      <c r="A169" s="15">
        <f>IF('Savings Inputs'!$B$14,163,"")</f>
        <v>163</v>
      </c>
      <c r="B169" s="16">
        <f>IF(A169="","",DATE(YEAR('Savings Inputs'!$B$10),MONTH('Savings Inputs'!$B$10)+A169+1,0))</f>
        <v>51287</v>
      </c>
      <c r="C169" s="17">
        <f t="shared" si="5"/>
        <v>536000</v>
      </c>
      <c r="D169" s="17">
        <f>IF(A169="","",'Savings Inputs'!$B$8)</f>
        <v>3000</v>
      </c>
      <c r="E169" s="17">
        <f>IF(A169="","",IF(A169='Savings Inputs'!$B$16,'Savings Inputs'!$B$9,0))</f>
        <v>0</v>
      </c>
      <c r="F169" s="17">
        <f t="shared" si="4"/>
        <v>539000</v>
      </c>
      <c r="G169" s="18">
        <f>IF(A169="","",F169/Dashboard!$B$7)</f>
        <v>3.5933333333333333</v>
      </c>
      <c r="H169" s="15">
        <f>IF(A169="","",IF(F169&gt;=Dashboard!$B$7,1,0))</f>
        <v>1</v>
      </c>
    </row>
    <row r="170" spans="1:8" ht="21" customHeight="1">
      <c r="A170" s="15">
        <f>IF('Savings Inputs'!$B$14,164,"")</f>
        <v>164</v>
      </c>
      <c r="B170" s="16">
        <f>IF(A170="","",DATE(YEAR('Savings Inputs'!$B$10),MONTH('Savings Inputs'!$B$10)+A170+1,0))</f>
        <v>51317</v>
      </c>
      <c r="C170" s="17">
        <f t="shared" si="5"/>
        <v>539000</v>
      </c>
      <c r="D170" s="17">
        <f>IF(A170="","",'Savings Inputs'!$B$8)</f>
        <v>3000</v>
      </c>
      <c r="E170" s="17">
        <f>IF(A170="","",IF(A170='Savings Inputs'!$B$16,'Savings Inputs'!$B$9,0))</f>
        <v>0</v>
      </c>
      <c r="F170" s="17">
        <f t="shared" si="4"/>
        <v>542000</v>
      </c>
      <c r="G170" s="18">
        <f>IF(A170="","",F170/Dashboard!$B$7)</f>
        <v>3.6133333333333333</v>
      </c>
      <c r="H170" s="15">
        <f>IF(A170="","",IF(F170&gt;=Dashboard!$B$7,1,0))</f>
        <v>1</v>
      </c>
    </row>
    <row r="171" spans="1:8" ht="21" customHeight="1">
      <c r="A171" s="15">
        <f>IF('Savings Inputs'!$B$14,165,"")</f>
        <v>165</v>
      </c>
      <c r="B171" s="16">
        <f>IF(A171="","",DATE(YEAR('Savings Inputs'!$B$10),MONTH('Savings Inputs'!$B$10)+A171+1,0))</f>
        <v>51348</v>
      </c>
      <c r="C171" s="17">
        <f t="shared" si="5"/>
        <v>542000</v>
      </c>
      <c r="D171" s="17">
        <f>IF(A171="","",'Savings Inputs'!$B$8)</f>
        <v>3000</v>
      </c>
      <c r="E171" s="17">
        <f>IF(A171="","",IF(A171='Savings Inputs'!$B$16,'Savings Inputs'!$B$9,0))</f>
        <v>0</v>
      </c>
      <c r="F171" s="17">
        <f t="shared" si="4"/>
        <v>545000</v>
      </c>
      <c r="G171" s="18">
        <f>IF(A171="","",F171/Dashboard!$B$7)</f>
        <v>3.6333333333333333</v>
      </c>
      <c r="H171" s="15">
        <f>IF(A171="","",IF(F171&gt;=Dashboard!$B$7,1,0))</f>
        <v>1</v>
      </c>
    </row>
    <row r="172" spans="1:8" ht="21" customHeight="1">
      <c r="A172" s="15">
        <f>IF('Savings Inputs'!$B$14,166,"")</f>
        <v>166</v>
      </c>
      <c r="B172" s="16">
        <f>IF(A172="","",DATE(YEAR('Savings Inputs'!$B$10),MONTH('Savings Inputs'!$B$10)+A172+1,0))</f>
        <v>51379</v>
      </c>
      <c r="C172" s="17">
        <f t="shared" si="5"/>
        <v>545000</v>
      </c>
      <c r="D172" s="17">
        <f>IF(A172="","",'Savings Inputs'!$B$8)</f>
        <v>3000</v>
      </c>
      <c r="E172" s="17">
        <f>IF(A172="","",IF(A172='Savings Inputs'!$B$16,'Savings Inputs'!$B$9,0))</f>
        <v>0</v>
      </c>
      <c r="F172" s="17">
        <f t="shared" si="4"/>
        <v>548000</v>
      </c>
      <c r="G172" s="18">
        <f>IF(A172="","",F172/Dashboard!$B$7)</f>
        <v>3.6533333333333333</v>
      </c>
      <c r="H172" s="15">
        <f>IF(A172="","",IF(F172&gt;=Dashboard!$B$7,1,0))</f>
        <v>1</v>
      </c>
    </row>
    <row r="173" spans="1:8" ht="21" customHeight="1">
      <c r="A173" s="15">
        <f>IF('Savings Inputs'!$B$14,167,"")</f>
        <v>167</v>
      </c>
      <c r="B173" s="16">
        <f>IF(A173="","",DATE(YEAR('Savings Inputs'!$B$10),MONTH('Savings Inputs'!$B$10)+A173+1,0))</f>
        <v>51409</v>
      </c>
      <c r="C173" s="17">
        <f t="shared" si="5"/>
        <v>548000</v>
      </c>
      <c r="D173" s="17">
        <f>IF(A173="","",'Savings Inputs'!$B$8)</f>
        <v>3000</v>
      </c>
      <c r="E173" s="17">
        <f>IF(A173="","",IF(A173='Savings Inputs'!$B$16,'Savings Inputs'!$B$9,0))</f>
        <v>0</v>
      </c>
      <c r="F173" s="17">
        <f t="shared" si="4"/>
        <v>551000</v>
      </c>
      <c r="G173" s="18">
        <f>IF(A173="","",F173/Dashboard!$B$7)</f>
        <v>3.6733333333333333</v>
      </c>
      <c r="H173" s="15">
        <f>IF(A173="","",IF(F173&gt;=Dashboard!$B$7,1,0))</f>
        <v>1</v>
      </c>
    </row>
    <row r="174" spans="1:8" ht="21" customHeight="1">
      <c r="A174" s="15">
        <f>IF('Savings Inputs'!$B$14,168,"")</f>
        <v>168</v>
      </c>
      <c r="B174" s="16">
        <f>IF(A174="","",DATE(YEAR('Savings Inputs'!$B$10),MONTH('Savings Inputs'!$B$10)+A174+1,0))</f>
        <v>51440</v>
      </c>
      <c r="C174" s="17">
        <f t="shared" si="5"/>
        <v>551000</v>
      </c>
      <c r="D174" s="17">
        <f>IF(A174="","",'Savings Inputs'!$B$8)</f>
        <v>3000</v>
      </c>
      <c r="E174" s="17">
        <f>IF(A174="","",IF(A174='Savings Inputs'!$B$16,'Savings Inputs'!$B$9,0))</f>
        <v>0</v>
      </c>
      <c r="F174" s="17">
        <f t="shared" si="4"/>
        <v>554000</v>
      </c>
      <c r="G174" s="18">
        <f>IF(A174="","",F174/Dashboard!$B$7)</f>
        <v>3.6933333333333334</v>
      </c>
      <c r="H174" s="15">
        <f>IF(A174="","",IF(F174&gt;=Dashboard!$B$7,1,0))</f>
        <v>1</v>
      </c>
    </row>
    <row r="175" spans="1:8" ht="21" customHeight="1">
      <c r="A175" s="15">
        <f>IF('Savings Inputs'!$B$14,169,"")</f>
        <v>169</v>
      </c>
      <c r="B175" s="16">
        <f>IF(A175="","",DATE(YEAR('Savings Inputs'!$B$10),MONTH('Savings Inputs'!$B$10)+A175+1,0))</f>
        <v>51470</v>
      </c>
      <c r="C175" s="17">
        <f t="shared" si="5"/>
        <v>554000</v>
      </c>
      <c r="D175" s="17">
        <f>IF(A175="","",'Savings Inputs'!$B$8)</f>
        <v>3000</v>
      </c>
      <c r="E175" s="17">
        <f>IF(A175="","",IF(A175='Savings Inputs'!$B$16,'Savings Inputs'!$B$9,0))</f>
        <v>0</v>
      </c>
      <c r="F175" s="17">
        <f t="shared" si="4"/>
        <v>557000</v>
      </c>
      <c r="G175" s="18">
        <f>IF(A175="","",F175/Dashboard!$B$7)</f>
        <v>3.7133333333333334</v>
      </c>
      <c r="H175" s="15">
        <f>IF(A175="","",IF(F175&gt;=Dashboard!$B$7,1,0))</f>
        <v>1</v>
      </c>
    </row>
    <row r="176" spans="1:8" ht="21" customHeight="1">
      <c r="A176" s="15">
        <f>IF('Savings Inputs'!$B$14,170,"")</f>
        <v>170</v>
      </c>
      <c r="B176" s="16">
        <f>IF(A176="","",DATE(YEAR('Savings Inputs'!$B$10),MONTH('Savings Inputs'!$B$10)+A176+1,0))</f>
        <v>51501</v>
      </c>
      <c r="C176" s="17">
        <f t="shared" si="5"/>
        <v>557000</v>
      </c>
      <c r="D176" s="17">
        <f>IF(A176="","",'Savings Inputs'!$B$8)</f>
        <v>3000</v>
      </c>
      <c r="E176" s="17">
        <f>IF(A176="","",IF(A176='Savings Inputs'!$B$16,'Savings Inputs'!$B$9,0))</f>
        <v>0</v>
      </c>
      <c r="F176" s="17">
        <f t="shared" si="4"/>
        <v>560000</v>
      </c>
      <c r="G176" s="18">
        <f>IF(A176="","",F176/Dashboard!$B$7)</f>
        <v>3.7333333333333334</v>
      </c>
      <c r="H176" s="15">
        <f>IF(A176="","",IF(F176&gt;=Dashboard!$B$7,1,0))</f>
        <v>1</v>
      </c>
    </row>
    <row r="177" spans="1:8" ht="21" customHeight="1">
      <c r="A177" s="15">
        <f>IF('Savings Inputs'!$B$14,171,"")</f>
        <v>171</v>
      </c>
      <c r="B177" s="16">
        <f>IF(A177="","",DATE(YEAR('Savings Inputs'!$B$10),MONTH('Savings Inputs'!$B$10)+A177+1,0))</f>
        <v>51532</v>
      </c>
      <c r="C177" s="17">
        <f t="shared" si="5"/>
        <v>560000</v>
      </c>
      <c r="D177" s="17">
        <f>IF(A177="","",'Savings Inputs'!$B$8)</f>
        <v>3000</v>
      </c>
      <c r="E177" s="17">
        <f>IF(A177="","",IF(A177='Savings Inputs'!$B$16,'Savings Inputs'!$B$9,0))</f>
        <v>0</v>
      </c>
      <c r="F177" s="17">
        <f t="shared" si="4"/>
        <v>563000</v>
      </c>
      <c r="G177" s="18">
        <f>IF(A177="","",F177/Dashboard!$B$7)</f>
        <v>3.7533333333333334</v>
      </c>
      <c r="H177" s="15">
        <f>IF(A177="","",IF(F177&gt;=Dashboard!$B$7,1,0))</f>
        <v>1</v>
      </c>
    </row>
    <row r="178" spans="1:8" ht="21" customHeight="1">
      <c r="A178" s="15">
        <f>IF('Savings Inputs'!$B$14,172,"")</f>
        <v>172</v>
      </c>
      <c r="B178" s="16">
        <f>IF(A178="","",DATE(YEAR('Savings Inputs'!$B$10),MONTH('Savings Inputs'!$B$10)+A178+1,0))</f>
        <v>51560</v>
      </c>
      <c r="C178" s="17">
        <f t="shared" si="5"/>
        <v>563000</v>
      </c>
      <c r="D178" s="17">
        <f>IF(A178="","",'Savings Inputs'!$B$8)</f>
        <v>3000</v>
      </c>
      <c r="E178" s="17">
        <f>IF(A178="","",IF(A178='Savings Inputs'!$B$16,'Savings Inputs'!$B$9,0))</f>
        <v>0</v>
      </c>
      <c r="F178" s="17">
        <f t="shared" si="4"/>
        <v>566000</v>
      </c>
      <c r="G178" s="18">
        <f>IF(A178="","",F178/Dashboard!$B$7)</f>
        <v>3.7733333333333334</v>
      </c>
      <c r="H178" s="15">
        <f>IF(A178="","",IF(F178&gt;=Dashboard!$B$7,1,0))</f>
        <v>1</v>
      </c>
    </row>
    <row r="179" spans="1:8" ht="21" customHeight="1">
      <c r="A179" s="15">
        <f>IF('Savings Inputs'!$B$14,173,"")</f>
        <v>173</v>
      </c>
      <c r="B179" s="16">
        <f>IF(A179="","",DATE(YEAR('Savings Inputs'!$B$10),MONTH('Savings Inputs'!$B$10)+A179+1,0))</f>
        <v>51591</v>
      </c>
      <c r="C179" s="17">
        <f t="shared" si="5"/>
        <v>566000</v>
      </c>
      <c r="D179" s="17">
        <f>IF(A179="","",'Savings Inputs'!$B$8)</f>
        <v>3000</v>
      </c>
      <c r="E179" s="17">
        <f>IF(A179="","",IF(A179='Savings Inputs'!$B$16,'Savings Inputs'!$B$9,0))</f>
        <v>0</v>
      </c>
      <c r="F179" s="17">
        <f t="shared" si="4"/>
        <v>569000</v>
      </c>
      <c r="G179" s="18">
        <f>IF(A179="","",F179/Dashboard!$B$7)</f>
        <v>3.7933333333333334</v>
      </c>
      <c r="H179" s="15">
        <f>IF(A179="","",IF(F179&gt;=Dashboard!$B$7,1,0))</f>
        <v>1</v>
      </c>
    </row>
    <row r="180" spans="1:8" ht="21" customHeight="1">
      <c r="A180" s="15">
        <f>IF('Savings Inputs'!$B$14,174,"")</f>
        <v>174</v>
      </c>
      <c r="B180" s="16">
        <f>IF(A180="","",DATE(YEAR('Savings Inputs'!$B$10),MONTH('Savings Inputs'!$B$10)+A180+1,0))</f>
        <v>51621</v>
      </c>
      <c r="C180" s="17">
        <f t="shared" si="5"/>
        <v>569000</v>
      </c>
      <c r="D180" s="17">
        <f>IF(A180="","",'Savings Inputs'!$B$8)</f>
        <v>3000</v>
      </c>
      <c r="E180" s="17">
        <f>IF(A180="","",IF(A180='Savings Inputs'!$B$16,'Savings Inputs'!$B$9,0))</f>
        <v>0</v>
      </c>
      <c r="F180" s="17">
        <f t="shared" si="4"/>
        <v>572000</v>
      </c>
      <c r="G180" s="18">
        <f>IF(A180="","",F180/Dashboard!$B$7)</f>
        <v>3.8133333333333335</v>
      </c>
      <c r="H180" s="15">
        <f>IF(A180="","",IF(F180&gt;=Dashboard!$B$7,1,0))</f>
        <v>1</v>
      </c>
    </row>
    <row r="181" spans="1:8" ht="21" customHeight="1">
      <c r="A181" s="15">
        <f>IF('Savings Inputs'!$B$14,175,"")</f>
        <v>175</v>
      </c>
      <c r="B181" s="16">
        <f>IF(A181="","",DATE(YEAR('Savings Inputs'!$B$10),MONTH('Savings Inputs'!$B$10)+A181+1,0))</f>
        <v>51652</v>
      </c>
      <c r="C181" s="17">
        <f t="shared" si="5"/>
        <v>572000</v>
      </c>
      <c r="D181" s="17">
        <f>IF(A181="","",'Savings Inputs'!$B$8)</f>
        <v>3000</v>
      </c>
      <c r="E181" s="17">
        <f>IF(A181="","",IF(A181='Savings Inputs'!$B$16,'Savings Inputs'!$B$9,0))</f>
        <v>0</v>
      </c>
      <c r="F181" s="17">
        <f t="shared" si="4"/>
        <v>575000</v>
      </c>
      <c r="G181" s="18">
        <f>IF(A181="","",F181/Dashboard!$B$7)</f>
        <v>3.8333333333333335</v>
      </c>
      <c r="H181" s="15">
        <f>IF(A181="","",IF(F181&gt;=Dashboard!$B$7,1,0))</f>
        <v>1</v>
      </c>
    </row>
    <row r="182" spans="1:8" ht="21" customHeight="1">
      <c r="A182" s="15">
        <f>IF('Savings Inputs'!$B$14,176,"")</f>
        <v>176</v>
      </c>
      <c r="B182" s="16">
        <f>IF(A182="","",DATE(YEAR('Savings Inputs'!$B$10),MONTH('Savings Inputs'!$B$10)+A182+1,0))</f>
        <v>51682</v>
      </c>
      <c r="C182" s="17">
        <f t="shared" si="5"/>
        <v>575000</v>
      </c>
      <c r="D182" s="17">
        <f>IF(A182="","",'Savings Inputs'!$B$8)</f>
        <v>3000</v>
      </c>
      <c r="E182" s="17">
        <f>IF(A182="","",IF(A182='Savings Inputs'!$B$16,'Savings Inputs'!$B$9,0))</f>
        <v>0</v>
      </c>
      <c r="F182" s="17">
        <f t="shared" si="4"/>
        <v>578000</v>
      </c>
      <c r="G182" s="18">
        <f>IF(A182="","",F182/Dashboard!$B$7)</f>
        <v>3.8533333333333335</v>
      </c>
      <c r="H182" s="15">
        <f>IF(A182="","",IF(F182&gt;=Dashboard!$B$7,1,0))</f>
        <v>1</v>
      </c>
    </row>
    <row r="183" spans="1:8" ht="21" customHeight="1">
      <c r="A183" s="15">
        <f>IF('Savings Inputs'!$B$14,177,"")</f>
        <v>177</v>
      </c>
      <c r="B183" s="16">
        <f>IF(A183="","",DATE(YEAR('Savings Inputs'!$B$10),MONTH('Savings Inputs'!$B$10)+A183+1,0))</f>
        <v>51713</v>
      </c>
      <c r="C183" s="17">
        <f t="shared" si="5"/>
        <v>578000</v>
      </c>
      <c r="D183" s="17">
        <f>IF(A183="","",'Savings Inputs'!$B$8)</f>
        <v>3000</v>
      </c>
      <c r="E183" s="17">
        <f>IF(A183="","",IF(A183='Savings Inputs'!$B$16,'Savings Inputs'!$B$9,0))</f>
        <v>0</v>
      </c>
      <c r="F183" s="17">
        <f t="shared" si="4"/>
        <v>581000</v>
      </c>
      <c r="G183" s="18">
        <f>IF(A183="","",F183/Dashboard!$B$7)</f>
        <v>3.8733333333333335</v>
      </c>
      <c r="H183" s="15">
        <f>IF(A183="","",IF(F183&gt;=Dashboard!$B$7,1,0))</f>
        <v>1</v>
      </c>
    </row>
    <row r="184" spans="1:8" ht="21" customHeight="1">
      <c r="A184" s="15">
        <f>IF('Savings Inputs'!$B$14,178,"")</f>
        <v>178</v>
      </c>
      <c r="B184" s="16">
        <f>IF(A184="","",DATE(YEAR('Savings Inputs'!$B$10),MONTH('Savings Inputs'!$B$10)+A184+1,0))</f>
        <v>51744</v>
      </c>
      <c r="C184" s="17">
        <f t="shared" si="5"/>
        <v>581000</v>
      </c>
      <c r="D184" s="17">
        <f>IF(A184="","",'Savings Inputs'!$B$8)</f>
        <v>3000</v>
      </c>
      <c r="E184" s="17">
        <f>IF(A184="","",IF(A184='Savings Inputs'!$B$16,'Savings Inputs'!$B$9,0))</f>
        <v>0</v>
      </c>
      <c r="F184" s="17">
        <f t="shared" si="4"/>
        <v>584000</v>
      </c>
      <c r="G184" s="18">
        <f>IF(A184="","",F184/Dashboard!$B$7)</f>
        <v>3.8933333333333335</v>
      </c>
      <c r="H184" s="15">
        <f>IF(A184="","",IF(F184&gt;=Dashboard!$B$7,1,0))</f>
        <v>1</v>
      </c>
    </row>
    <row r="185" spans="1:8" ht="21" customHeight="1">
      <c r="A185" s="15">
        <f>IF('Savings Inputs'!$B$14,179,"")</f>
        <v>179</v>
      </c>
      <c r="B185" s="16">
        <f>IF(A185="","",DATE(YEAR('Savings Inputs'!$B$10),MONTH('Savings Inputs'!$B$10)+A185+1,0))</f>
        <v>51774</v>
      </c>
      <c r="C185" s="17">
        <f t="shared" si="5"/>
        <v>584000</v>
      </c>
      <c r="D185" s="17">
        <f>IF(A185="","",'Savings Inputs'!$B$8)</f>
        <v>3000</v>
      </c>
      <c r="E185" s="17">
        <f>IF(A185="","",IF(A185='Savings Inputs'!$B$16,'Savings Inputs'!$B$9,0))</f>
        <v>0</v>
      </c>
      <c r="F185" s="17">
        <f t="shared" si="4"/>
        <v>587000</v>
      </c>
      <c r="G185" s="18">
        <f>IF(A185="","",F185/Dashboard!$B$7)</f>
        <v>3.9133333333333336</v>
      </c>
      <c r="H185" s="15">
        <f>IF(A185="","",IF(F185&gt;=Dashboard!$B$7,1,0))</f>
        <v>1</v>
      </c>
    </row>
    <row r="186" spans="1:8" ht="21" customHeight="1">
      <c r="A186" s="15">
        <f>IF('Savings Inputs'!$B$14,180,"")</f>
        <v>180</v>
      </c>
      <c r="B186" s="16">
        <f>IF(A186="","",DATE(YEAR('Savings Inputs'!$B$10),MONTH('Savings Inputs'!$B$10)+A186+1,0))</f>
        <v>51805</v>
      </c>
      <c r="C186" s="17">
        <f t="shared" si="5"/>
        <v>587000</v>
      </c>
      <c r="D186" s="17">
        <f>IF(A186="","",'Savings Inputs'!$B$8)</f>
        <v>3000</v>
      </c>
      <c r="E186" s="17">
        <f>IF(A186="","",IF(A186='Savings Inputs'!$B$16,'Savings Inputs'!$B$9,0))</f>
        <v>0</v>
      </c>
      <c r="F186" s="17">
        <f t="shared" si="4"/>
        <v>590000</v>
      </c>
      <c r="G186" s="18">
        <f>IF(A186="","",F186/Dashboard!$B$7)</f>
        <v>3.9333333333333331</v>
      </c>
      <c r="H186" s="15">
        <f>IF(A186="","",IF(F186&gt;=Dashboard!$B$7,1,0))</f>
        <v>1</v>
      </c>
    </row>
    <row r="187" spans="1:8" ht="21" customHeight="1">
      <c r="A187" s="15">
        <f>IF('Savings Inputs'!$B$14,181,"")</f>
        <v>181</v>
      </c>
      <c r="B187" s="16">
        <f>IF(A187="","",DATE(YEAR('Savings Inputs'!$B$10),MONTH('Savings Inputs'!$B$10)+A187+1,0))</f>
        <v>51835</v>
      </c>
      <c r="C187" s="17">
        <f t="shared" si="5"/>
        <v>590000</v>
      </c>
      <c r="D187" s="17">
        <f>IF(A187="","",'Savings Inputs'!$B$8)</f>
        <v>3000</v>
      </c>
      <c r="E187" s="17">
        <f>IF(A187="","",IF(A187='Savings Inputs'!$B$16,'Savings Inputs'!$B$9,0))</f>
        <v>0</v>
      </c>
      <c r="F187" s="17">
        <f t="shared" si="4"/>
        <v>593000</v>
      </c>
      <c r="G187" s="18">
        <f>IF(A187="","",F187/Dashboard!$B$7)</f>
        <v>3.9533333333333331</v>
      </c>
      <c r="H187" s="15">
        <f>IF(A187="","",IF(F187&gt;=Dashboard!$B$7,1,0))</f>
        <v>1</v>
      </c>
    </row>
    <row r="188" spans="1:8" ht="21" customHeight="1">
      <c r="A188" s="15">
        <f>IF('Savings Inputs'!$B$14,182,"")</f>
        <v>182</v>
      </c>
      <c r="B188" s="16">
        <f>IF(A188="","",DATE(YEAR('Savings Inputs'!$B$10),MONTH('Savings Inputs'!$B$10)+A188+1,0))</f>
        <v>51866</v>
      </c>
      <c r="C188" s="17">
        <f t="shared" si="5"/>
        <v>593000</v>
      </c>
      <c r="D188" s="17">
        <f>IF(A188="","",'Savings Inputs'!$B$8)</f>
        <v>3000</v>
      </c>
      <c r="E188" s="17">
        <f>IF(A188="","",IF(A188='Savings Inputs'!$B$16,'Savings Inputs'!$B$9,0))</f>
        <v>0</v>
      </c>
      <c r="F188" s="17">
        <f t="shared" si="4"/>
        <v>596000</v>
      </c>
      <c r="G188" s="18">
        <f>IF(A188="","",F188/Dashboard!$B$7)</f>
        <v>3.9733333333333332</v>
      </c>
      <c r="H188" s="15">
        <f>IF(A188="","",IF(F188&gt;=Dashboard!$B$7,1,0))</f>
        <v>1</v>
      </c>
    </row>
    <row r="189" spans="1:8" ht="21" customHeight="1">
      <c r="A189" s="15">
        <f>IF('Savings Inputs'!$B$14,183,"")</f>
        <v>183</v>
      </c>
      <c r="B189" s="16">
        <f>IF(A189="","",DATE(YEAR('Savings Inputs'!$B$10),MONTH('Savings Inputs'!$B$10)+A189+1,0))</f>
        <v>51897</v>
      </c>
      <c r="C189" s="17">
        <f t="shared" si="5"/>
        <v>596000</v>
      </c>
      <c r="D189" s="17">
        <f>IF(A189="","",'Savings Inputs'!$B$8)</f>
        <v>3000</v>
      </c>
      <c r="E189" s="17">
        <f>IF(A189="","",IF(A189='Savings Inputs'!$B$16,'Savings Inputs'!$B$9,0))</f>
        <v>0</v>
      </c>
      <c r="F189" s="17">
        <f t="shared" si="4"/>
        <v>599000</v>
      </c>
      <c r="G189" s="18">
        <f>IF(A189="","",F189/Dashboard!$B$7)</f>
        <v>3.9933333333333332</v>
      </c>
      <c r="H189" s="15">
        <f>IF(A189="","",IF(F189&gt;=Dashboard!$B$7,1,0))</f>
        <v>1</v>
      </c>
    </row>
    <row r="190" spans="1:8" ht="21" customHeight="1">
      <c r="A190" s="15">
        <f>IF('Savings Inputs'!$B$14,184,"")</f>
        <v>184</v>
      </c>
      <c r="B190" s="16">
        <f>IF(A190="","",DATE(YEAR('Savings Inputs'!$B$10),MONTH('Savings Inputs'!$B$10)+A190+1,0))</f>
        <v>51925</v>
      </c>
      <c r="C190" s="17">
        <f t="shared" si="5"/>
        <v>599000</v>
      </c>
      <c r="D190" s="17">
        <f>IF(A190="","",'Savings Inputs'!$B$8)</f>
        <v>3000</v>
      </c>
      <c r="E190" s="17">
        <f>IF(A190="","",IF(A190='Savings Inputs'!$B$16,'Savings Inputs'!$B$9,0))</f>
        <v>0</v>
      </c>
      <c r="F190" s="17">
        <f t="shared" si="4"/>
        <v>602000</v>
      </c>
      <c r="G190" s="18">
        <f>IF(A190="","",F190/Dashboard!$B$7)</f>
        <v>4.0133333333333336</v>
      </c>
      <c r="H190" s="15">
        <f>IF(A190="","",IF(F190&gt;=Dashboard!$B$7,1,0))</f>
        <v>1</v>
      </c>
    </row>
    <row r="191" spans="1:8" ht="21" customHeight="1">
      <c r="A191" s="15">
        <f>IF('Savings Inputs'!$B$14,185,"")</f>
        <v>185</v>
      </c>
      <c r="B191" s="16">
        <f>IF(A191="","",DATE(YEAR('Savings Inputs'!$B$10),MONTH('Savings Inputs'!$B$10)+A191+1,0))</f>
        <v>51956</v>
      </c>
      <c r="C191" s="17">
        <f t="shared" si="5"/>
        <v>602000</v>
      </c>
      <c r="D191" s="17">
        <f>IF(A191="","",'Savings Inputs'!$B$8)</f>
        <v>3000</v>
      </c>
      <c r="E191" s="17">
        <f>IF(A191="","",IF(A191='Savings Inputs'!$B$16,'Savings Inputs'!$B$9,0))</f>
        <v>0</v>
      </c>
      <c r="F191" s="17">
        <f t="shared" si="4"/>
        <v>605000</v>
      </c>
      <c r="G191" s="18">
        <f>IF(A191="","",F191/Dashboard!$B$7)</f>
        <v>4.0333333333333332</v>
      </c>
      <c r="H191" s="15">
        <f>IF(A191="","",IF(F191&gt;=Dashboard!$B$7,1,0))</f>
        <v>1</v>
      </c>
    </row>
    <row r="192" spans="1:8" ht="21" customHeight="1">
      <c r="A192" s="15">
        <f>IF('Savings Inputs'!$B$14,186,"")</f>
        <v>186</v>
      </c>
      <c r="B192" s="16">
        <f>IF(A192="","",DATE(YEAR('Savings Inputs'!$B$10),MONTH('Savings Inputs'!$B$10)+A192+1,0))</f>
        <v>51986</v>
      </c>
      <c r="C192" s="17">
        <f t="shared" si="5"/>
        <v>605000</v>
      </c>
      <c r="D192" s="17">
        <f>IF(A192="","",'Savings Inputs'!$B$8)</f>
        <v>3000</v>
      </c>
      <c r="E192" s="17">
        <f>IF(A192="","",IF(A192='Savings Inputs'!$B$16,'Savings Inputs'!$B$9,0))</f>
        <v>0</v>
      </c>
      <c r="F192" s="17">
        <f t="shared" si="4"/>
        <v>608000</v>
      </c>
      <c r="G192" s="18">
        <f>IF(A192="","",F192/Dashboard!$B$7)</f>
        <v>4.0533333333333337</v>
      </c>
      <c r="H192" s="15">
        <f>IF(A192="","",IF(F192&gt;=Dashboard!$B$7,1,0))</f>
        <v>1</v>
      </c>
    </row>
    <row r="193" spans="1:8" ht="21" customHeight="1">
      <c r="A193" s="15">
        <f>IF('Savings Inputs'!$B$14,187,"")</f>
        <v>187</v>
      </c>
      <c r="B193" s="16">
        <f>IF(A193="","",DATE(YEAR('Savings Inputs'!$B$10),MONTH('Savings Inputs'!$B$10)+A193+1,0))</f>
        <v>52017</v>
      </c>
      <c r="C193" s="17">
        <f t="shared" si="5"/>
        <v>608000</v>
      </c>
      <c r="D193" s="17">
        <f>IF(A193="","",'Savings Inputs'!$B$8)</f>
        <v>3000</v>
      </c>
      <c r="E193" s="17">
        <f>IF(A193="","",IF(A193='Savings Inputs'!$B$16,'Savings Inputs'!$B$9,0))</f>
        <v>0</v>
      </c>
      <c r="F193" s="17">
        <f t="shared" si="4"/>
        <v>611000</v>
      </c>
      <c r="G193" s="18">
        <f>IF(A193="","",F193/Dashboard!$B$7)</f>
        <v>4.0733333333333333</v>
      </c>
      <c r="H193" s="15">
        <f>IF(A193="","",IF(F193&gt;=Dashboard!$B$7,1,0))</f>
        <v>1</v>
      </c>
    </row>
    <row r="194" spans="1:8" ht="21" customHeight="1">
      <c r="A194" s="15">
        <f>IF('Savings Inputs'!$B$14,188,"")</f>
        <v>188</v>
      </c>
      <c r="B194" s="16">
        <f>IF(A194="","",DATE(YEAR('Savings Inputs'!$B$10),MONTH('Savings Inputs'!$B$10)+A194+1,0))</f>
        <v>52047</v>
      </c>
      <c r="C194" s="17">
        <f t="shared" si="5"/>
        <v>611000</v>
      </c>
      <c r="D194" s="17">
        <f>IF(A194="","",'Savings Inputs'!$B$8)</f>
        <v>3000</v>
      </c>
      <c r="E194" s="17">
        <f>IF(A194="","",IF(A194='Savings Inputs'!$B$16,'Savings Inputs'!$B$9,0))</f>
        <v>0</v>
      </c>
      <c r="F194" s="17">
        <f t="shared" si="4"/>
        <v>614000</v>
      </c>
      <c r="G194" s="18">
        <f>IF(A194="","",F194/Dashboard!$B$7)</f>
        <v>4.0933333333333337</v>
      </c>
      <c r="H194" s="15">
        <f>IF(A194="","",IF(F194&gt;=Dashboard!$B$7,1,0))</f>
        <v>1</v>
      </c>
    </row>
    <row r="195" spans="1:8" ht="21" customHeight="1">
      <c r="A195" s="15">
        <f>IF('Savings Inputs'!$B$14,189,"")</f>
        <v>189</v>
      </c>
      <c r="B195" s="16">
        <f>IF(A195="","",DATE(YEAR('Savings Inputs'!$B$10),MONTH('Savings Inputs'!$B$10)+A195+1,0))</f>
        <v>52078</v>
      </c>
      <c r="C195" s="17">
        <f t="shared" si="5"/>
        <v>614000</v>
      </c>
      <c r="D195" s="17">
        <f>IF(A195="","",'Savings Inputs'!$B$8)</f>
        <v>3000</v>
      </c>
      <c r="E195" s="17">
        <f>IF(A195="","",IF(A195='Savings Inputs'!$B$16,'Savings Inputs'!$B$9,0))</f>
        <v>0</v>
      </c>
      <c r="F195" s="17">
        <f t="shared" si="4"/>
        <v>617000</v>
      </c>
      <c r="G195" s="18">
        <f>IF(A195="","",F195/Dashboard!$B$7)</f>
        <v>4.1133333333333333</v>
      </c>
      <c r="H195" s="15">
        <f>IF(A195="","",IF(F195&gt;=Dashboard!$B$7,1,0))</f>
        <v>1</v>
      </c>
    </row>
    <row r="196" spans="1:8" ht="21" customHeight="1">
      <c r="A196" s="15">
        <f>IF('Savings Inputs'!$B$14,190,"")</f>
        <v>190</v>
      </c>
      <c r="B196" s="16">
        <f>IF(A196="","",DATE(YEAR('Savings Inputs'!$B$10),MONTH('Savings Inputs'!$B$10)+A196+1,0))</f>
        <v>52109</v>
      </c>
      <c r="C196" s="17">
        <f t="shared" si="5"/>
        <v>617000</v>
      </c>
      <c r="D196" s="17">
        <f>IF(A196="","",'Savings Inputs'!$B$8)</f>
        <v>3000</v>
      </c>
      <c r="E196" s="17">
        <f>IF(A196="","",IF(A196='Savings Inputs'!$B$16,'Savings Inputs'!$B$9,0))</f>
        <v>0</v>
      </c>
      <c r="F196" s="17">
        <f t="shared" si="4"/>
        <v>620000</v>
      </c>
      <c r="G196" s="18">
        <f>IF(A196="","",F196/Dashboard!$B$7)</f>
        <v>4.1333333333333337</v>
      </c>
      <c r="H196" s="15">
        <f>IF(A196="","",IF(F196&gt;=Dashboard!$B$7,1,0))</f>
        <v>1</v>
      </c>
    </row>
    <row r="197" spans="1:8" ht="21" customHeight="1">
      <c r="A197" s="15">
        <f>IF('Savings Inputs'!$B$14,191,"")</f>
        <v>191</v>
      </c>
      <c r="B197" s="16">
        <f>IF(A197="","",DATE(YEAR('Savings Inputs'!$B$10),MONTH('Savings Inputs'!$B$10)+A197+1,0))</f>
        <v>52139</v>
      </c>
      <c r="C197" s="17">
        <f t="shared" si="5"/>
        <v>620000</v>
      </c>
      <c r="D197" s="17">
        <f>IF(A197="","",'Savings Inputs'!$B$8)</f>
        <v>3000</v>
      </c>
      <c r="E197" s="17">
        <f>IF(A197="","",IF(A197='Savings Inputs'!$B$16,'Savings Inputs'!$B$9,0))</f>
        <v>0</v>
      </c>
      <c r="F197" s="17">
        <f t="shared" si="4"/>
        <v>623000</v>
      </c>
      <c r="G197" s="18">
        <f>IF(A197="","",F197/Dashboard!$B$7)</f>
        <v>4.1533333333333333</v>
      </c>
      <c r="H197" s="15">
        <f>IF(A197="","",IF(F197&gt;=Dashboard!$B$7,1,0))</f>
        <v>1</v>
      </c>
    </row>
    <row r="198" spans="1:8" ht="21" customHeight="1">
      <c r="A198" s="15">
        <f>IF('Savings Inputs'!$B$14,192,"")</f>
        <v>192</v>
      </c>
      <c r="B198" s="16">
        <f>IF(A198="","",DATE(YEAR('Savings Inputs'!$B$10),MONTH('Savings Inputs'!$B$10)+A198+1,0))</f>
        <v>52170</v>
      </c>
      <c r="C198" s="17">
        <f t="shared" si="5"/>
        <v>623000</v>
      </c>
      <c r="D198" s="17">
        <f>IF(A198="","",'Savings Inputs'!$B$8)</f>
        <v>3000</v>
      </c>
      <c r="E198" s="17">
        <f>IF(A198="","",IF(A198='Savings Inputs'!$B$16,'Savings Inputs'!$B$9,0))</f>
        <v>0</v>
      </c>
      <c r="F198" s="17">
        <f t="shared" si="4"/>
        <v>626000</v>
      </c>
      <c r="G198" s="18">
        <f>IF(A198="","",F198/Dashboard!$B$7)</f>
        <v>4.1733333333333329</v>
      </c>
      <c r="H198" s="15">
        <f>IF(A198="","",IF(F198&gt;=Dashboard!$B$7,1,0))</f>
        <v>1</v>
      </c>
    </row>
    <row r="199" spans="1:8" ht="21" customHeight="1">
      <c r="A199" s="15">
        <f>IF('Savings Inputs'!$B$14,193,"")</f>
        <v>193</v>
      </c>
      <c r="B199" s="16">
        <f>IF(A199="","",DATE(YEAR('Savings Inputs'!$B$10),MONTH('Savings Inputs'!$B$10)+A199+1,0))</f>
        <v>52200</v>
      </c>
      <c r="C199" s="17">
        <f t="shared" si="5"/>
        <v>626000</v>
      </c>
      <c r="D199" s="17">
        <f>IF(A199="","",'Savings Inputs'!$B$8)</f>
        <v>3000</v>
      </c>
      <c r="E199" s="17">
        <f>IF(A199="","",IF(A199='Savings Inputs'!$B$16,'Savings Inputs'!$B$9,0))</f>
        <v>0</v>
      </c>
      <c r="F199" s="17">
        <f t="shared" ref="F199:F262" si="6">IF(A199="","",SUM(C199:E199))</f>
        <v>629000</v>
      </c>
      <c r="G199" s="18">
        <f>IF(A199="","",F199/Dashboard!$B$7)</f>
        <v>4.1933333333333334</v>
      </c>
      <c r="H199" s="15">
        <f>IF(A199="","",IF(F199&gt;=Dashboard!$B$7,1,0))</f>
        <v>1</v>
      </c>
    </row>
    <row r="200" spans="1:8" ht="21" customHeight="1">
      <c r="A200" s="15">
        <f>IF('Savings Inputs'!$B$14,194,"")</f>
        <v>194</v>
      </c>
      <c r="B200" s="16">
        <f>IF(A200="","",DATE(YEAR('Savings Inputs'!$B$10),MONTH('Savings Inputs'!$B$10)+A200+1,0))</f>
        <v>52231</v>
      </c>
      <c r="C200" s="17">
        <f t="shared" ref="C200:C263" si="7">IF(A200="","",F199)</f>
        <v>629000</v>
      </c>
      <c r="D200" s="17">
        <f>IF(A200="","",'Savings Inputs'!$B$8)</f>
        <v>3000</v>
      </c>
      <c r="E200" s="17">
        <f>IF(A200="","",IF(A200='Savings Inputs'!$B$16,'Savings Inputs'!$B$9,0))</f>
        <v>0</v>
      </c>
      <c r="F200" s="17">
        <f t="shared" si="6"/>
        <v>632000</v>
      </c>
      <c r="G200" s="18">
        <f>IF(A200="","",F200/Dashboard!$B$7)</f>
        <v>4.2133333333333329</v>
      </c>
      <c r="H200" s="15">
        <f>IF(A200="","",IF(F200&gt;=Dashboard!$B$7,1,0))</f>
        <v>1</v>
      </c>
    </row>
    <row r="201" spans="1:8" ht="21" customHeight="1">
      <c r="A201" s="15">
        <f>IF('Savings Inputs'!$B$14,195,"")</f>
        <v>195</v>
      </c>
      <c r="B201" s="16">
        <f>IF(A201="","",DATE(YEAR('Savings Inputs'!$B$10),MONTH('Savings Inputs'!$B$10)+A201+1,0))</f>
        <v>52262</v>
      </c>
      <c r="C201" s="17">
        <f t="shared" si="7"/>
        <v>632000</v>
      </c>
      <c r="D201" s="17">
        <f>IF(A201="","",'Savings Inputs'!$B$8)</f>
        <v>3000</v>
      </c>
      <c r="E201" s="17">
        <f>IF(A201="","",IF(A201='Savings Inputs'!$B$16,'Savings Inputs'!$B$9,0))</f>
        <v>0</v>
      </c>
      <c r="F201" s="17">
        <f t="shared" si="6"/>
        <v>635000</v>
      </c>
      <c r="G201" s="18">
        <f>IF(A201="","",F201/Dashboard!$B$7)</f>
        <v>4.2333333333333334</v>
      </c>
      <c r="H201" s="15">
        <f>IF(A201="","",IF(F201&gt;=Dashboard!$B$7,1,0))</f>
        <v>1</v>
      </c>
    </row>
    <row r="202" spans="1:8" ht="21" customHeight="1">
      <c r="A202" s="15">
        <f>IF('Savings Inputs'!$B$14,196,"")</f>
        <v>196</v>
      </c>
      <c r="B202" s="16">
        <f>IF(A202="","",DATE(YEAR('Savings Inputs'!$B$10),MONTH('Savings Inputs'!$B$10)+A202+1,0))</f>
        <v>52290</v>
      </c>
      <c r="C202" s="17">
        <f t="shared" si="7"/>
        <v>635000</v>
      </c>
      <c r="D202" s="17">
        <f>IF(A202="","",'Savings Inputs'!$B$8)</f>
        <v>3000</v>
      </c>
      <c r="E202" s="17">
        <f>IF(A202="","",IF(A202='Savings Inputs'!$B$16,'Savings Inputs'!$B$9,0))</f>
        <v>0</v>
      </c>
      <c r="F202" s="17">
        <f t="shared" si="6"/>
        <v>638000</v>
      </c>
      <c r="G202" s="18">
        <f>IF(A202="","",F202/Dashboard!$B$7)</f>
        <v>4.253333333333333</v>
      </c>
      <c r="H202" s="15">
        <f>IF(A202="","",IF(F202&gt;=Dashboard!$B$7,1,0))</f>
        <v>1</v>
      </c>
    </row>
    <row r="203" spans="1:8" ht="21" customHeight="1">
      <c r="A203" s="15">
        <f>IF('Savings Inputs'!$B$14,197,"")</f>
        <v>197</v>
      </c>
      <c r="B203" s="16">
        <f>IF(A203="","",DATE(YEAR('Savings Inputs'!$B$10),MONTH('Savings Inputs'!$B$10)+A203+1,0))</f>
        <v>52321</v>
      </c>
      <c r="C203" s="17">
        <f t="shared" si="7"/>
        <v>638000</v>
      </c>
      <c r="D203" s="17">
        <f>IF(A203="","",'Savings Inputs'!$B$8)</f>
        <v>3000</v>
      </c>
      <c r="E203" s="17">
        <f>IF(A203="","",IF(A203='Savings Inputs'!$B$16,'Savings Inputs'!$B$9,0))</f>
        <v>0</v>
      </c>
      <c r="F203" s="17">
        <f t="shared" si="6"/>
        <v>641000</v>
      </c>
      <c r="G203" s="18">
        <f>IF(A203="","",F203/Dashboard!$B$7)</f>
        <v>4.2733333333333334</v>
      </c>
      <c r="H203" s="15">
        <f>IF(A203="","",IF(F203&gt;=Dashboard!$B$7,1,0))</f>
        <v>1</v>
      </c>
    </row>
    <row r="204" spans="1:8" ht="21" customHeight="1">
      <c r="A204" s="15">
        <f>IF('Savings Inputs'!$B$14,198,"")</f>
        <v>198</v>
      </c>
      <c r="B204" s="16">
        <f>IF(A204="","",DATE(YEAR('Savings Inputs'!$B$10),MONTH('Savings Inputs'!$B$10)+A204+1,0))</f>
        <v>52351</v>
      </c>
      <c r="C204" s="17">
        <f t="shared" si="7"/>
        <v>641000</v>
      </c>
      <c r="D204" s="17">
        <f>IF(A204="","",'Savings Inputs'!$B$8)</f>
        <v>3000</v>
      </c>
      <c r="E204" s="17">
        <f>IF(A204="","",IF(A204='Savings Inputs'!$B$16,'Savings Inputs'!$B$9,0))</f>
        <v>0</v>
      </c>
      <c r="F204" s="17">
        <f t="shared" si="6"/>
        <v>644000</v>
      </c>
      <c r="G204" s="18">
        <f>IF(A204="","",F204/Dashboard!$B$7)</f>
        <v>4.293333333333333</v>
      </c>
      <c r="H204" s="15">
        <f>IF(A204="","",IF(F204&gt;=Dashboard!$B$7,1,0))</f>
        <v>1</v>
      </c>
    </row>
    <row r="205" spans="1:8" ht="21" customHeight="1">
      <c r="A205" s="15">
        <f>IF('Savings Inputs'!$B$14,199,"")</f>
        <v>199</v>
      </c>
      <c r="B205" s="16">
        <f>IF(A205="","",DATE(YEAR('Savings Inputs'!$B$10),MONTH('Savings Inputs'!$B$10)+A205+1,0))</f>
        <v>52382</v>
      </c>
      <c r="C205" s="17">
        <f t="shared" si="7"/>
        <v>644000</v>
      </c>
      <c r="D205" s="17">
        <f>IF(A205="","",'Savings Inputs'!$B$8)</f>
        <v>3000</v>
      </c>
      <c r="E205" s="17">
        <f>IF(A205="","",IF(A205='Savings Inputs'!$B$16,'Savings Inputs'!$B$9,0))</f>
        <v>0</v>
      </c>
      <c r="F205" s="17">
        <f t="shared" si="6"/>
        <v>647000</v>
      </c>
      <c r="G205" s="18">
        <f>IF(A205="","",F205/Dashboard!$B$7)</f>
        <v>4.3133333333333335</v>
      </c>
      <c r="H205" s="15">
        <f>IF(A205="","",IF(F205&gt;=Dashboard!$B$7,1,0))</f>
        <v>1</v>
      </c>
    </row>
    <row r="206" spans="1:8" ht="21" customHeight="1">
      <c r="A206" s="15">
        <f>IF('Savings Inputs'!$B$14,200,"")</f>
        <v>200</v>
      </c>
      <c r="B206" s="16">
        <f>IF(A206="","",DATE(YEAR('Savings Inputs'!$B$10),MONTH('Savings Inputs'!$B$10)+A206+1,0))</f>
        <v>52412</v>
      </c>
      <c r="C206" s="17">
        <f t="shared" si="7"/>
        <v>647000</v>
      </c>
      <c r="D206" s="17">
        <f>IF(A206="","",'Savings Inputs'!$B$8)</f>
        <v>3000</v>
      </c>
      <c r="E206" s="17">
        <f>IF(A206="","",IF(A206='Savings Inputs'!$B$16,'Savings Inputs'!$B$9,0))</f>
        <v>0</v>
      </c>
      <c r="F206" s="17">
        <f t="shared" si="6"/>
        <v>650000</v>
      </c>
      <c r="G206" s="18">
        <f>IF(A206="","",F206/Dashboard!$B$7)</f>
        <v>4.333333333333333</v>
      </c>
      <c r="H206" s="15">
        <f>IF(A206="","",IF(F206&gt;=Dashboard!$B$7,1,0))</f>
        <v>1</v>
      </c>
    </row>
    <row r="207" spans="1:8" ht="21" customHeight="1">
      <c r="A207" s="15">
        <f>IF('Savings Inputs'!$B$14,201,"")</f>
        <v>201</v>
      </c>
      <c r="B207" s="16">
        <f>IF(A207="","",DATE(YEAR('Savings Inputs'!$B$10),MONTH('Savings Inputs'!$B$10)+A207+1,0))</f>
        <v>52443</v>
      </c>
      <c r="C207" s="17">
        <f t="shared" si="7"/>
        <v>650000</v>
      </c>
      <c r="D207" s="17">
        <f>IF(A207="","",'Savings Inputs'!$B$8)</f>
        <v>3000</v>
      </c>
      <c r="E207" s="17">
        <f>IF(A207="","",IF(A207='Savings Inputs'!$B$16,'Savings Inputs'!$B$9,0))</f>
        <v>0</v>
      </c>
      <c r="F207" s="17">
        <f t="shared" si="6"/>
        <v>653000</v>
      </c>
      <c r="G207" s="18">
        <f>IF(A207="","",F207/Dashboard!$B$7)</f>
        <v>4.3533333333333335</v>
      </c>
      <c r="H207" s="15">
        <f>IF(A207="","",IF(F207&gt;=Dashboard!$B$7,1,0))</f>
        <v>1</v>
      </c>
    </row>
    <row r="208" spans="1:8" ht="21" customHeight="1">
      <c r="A208" s="15">
        <f>IF('Savings Inputs'!$B$14,202,"")</f>
        <v>202</v>
      </c>
      <c r="B208" s="16">
        <f>IF(A208="","",DATE(YEAR('Savings Inputs'!$B$10),MONTH('Savings Inputs'!$B$10)+A208+1,0))</f>
        <v>52474</v>
      </c>
      <c r="C208" s="17">
        <f t="shared" si="7"/>
        <v>653000</v>
      </c>
      <c r="D208" s="17">
        <f>IF(A208="","",'Savings Inputs'!$B$8)</f>
        <v>3000</v>
      </c>
      <c r="E208" s="17">
        <f>IF(A208="","",IF(A208='Savings Inputs'!$B$16,'Savings Inputs'!$B$9,0))</f>
        <v>0</v>
      </c>
      <c r="F208" s="17">
        <f t="shared" si="6"/>
        <v>656000</v>
      </c>
      <c r="G208" s="18">
        <f>IF(A208="","",F208/Dashboard!$B$7)</f>
        <v>4.3733333333333331</v>
      </c>
      <c r="H208" s="15">
        <f>IF(A208="","",IF(F208&gt;=Dashboard!$B$7,1,0))</f>
        <v>1</v>
      </c>
    </row>
    <row r="209" spans="1:8" ht="21" customHeight="1">
      <c r="A209" s="15">
        <f>IF('Savings Inputs'!$B$14,203,"")</f>
        <v>203</v>
      </c>
      <c r="B209" s="16">
        <f>IF(A209="","",DATE(YEAR('Savings Inputs'!$B$10),MONTH('Savings Inputs'!$B$10)+A209+1,0))</f>
        <v>52504</v>
      </c>
      <c r="C209" s="17">
        <f t="shared" si="7"/>
        <v>656000</v>
      </c>
      <c r="D209" s="17">
        <f>IF(A209="","",'Savings Inputs'!$B$8)</f>
        <v>3000</v>
      </c>
      <c r="E209" s="17">
        <f>IF(A209="","",IF(A209='Savings Inputs'!$B$16,'Savings Inputs'!$B$9,0))</f>
        <v>0</v>
      </c>
      <c r="F209" s="17">
        <f t="shared" si="6"/>
        <v>659000</v>
      </c>
      <c r="G209" s="18">
        <f>IF(A209="","",F209/Dashboard!$B$7)</f>
        <v>4.3933333333333335</v>
      </c>
      <c r="H209" s="15">
        <f>IF(A209="","",IF(F209&gt;=Dashboard!$B$7,1,0))</f>
        <v>1</v>
      </c>
    </row>
    <row r="210" spans="1:8" ht="21" customHeight="1">
      <c r="A210" s="15">
        <f>IF('Savings Inputs'!$B$14,204,"")</f>
        <v>204</v>
      </c>
      <c r="B210" s="16">
        <f>IF(A210="","",DATE(YEAR('Savings Inputs'!$B$10),MONTH('Savings Inputs'!$B$10)+A210+1,0))</f>
        <v>52535</v>
      </c>
      <c r="C210" s="17">
        <f t="shared" si="7"/>
        <v>659000</v>
      </c>
      <c r="D210" s="17">
        <f>IF(A210="","",'Savings Inputs'!$B$8)</f>
        <v>3000</v>
      </c>
      <c r="E210" s="17">
        <f>IF(A210="","",IF(A210='Savings Inputs'!$B$16,'Savings Inputs'!$B$9,0))</f>
        <v>0</v>
      </c>
      <c r="F210" s="17">
        <f t="shared" si="6"/>
        <v>662000</v>
      </c>
      <c r="G210" s="18">
        <f>IF(A210="","",F210/Dashboard!$B$7)</f>
        <v>4.4133333333333331</v>
      </c>
      <c r="H210" s="15">
        <f>IF(A210="","",IF(F210&gt;=Dashboard!$B$7,1,0))</f>
        <v>1</v>
      </c>
    </row>
    <row r="211" spans="1:8" ht="21" customHeight="1">
      <c r="A211" s="15">
        <f>IF('Savings Inputs'!$B$14,205,"")</f>
        <v>205</v>
      </c>
      <c r="B211" s="16">
        <f>IF(A211="","",DATE(YEAR('Savings Inputs'!$B$10),MONTH('Savings Inputs'!$B$10)+A211+1,0))</f>
        <v>52565</v>
      </c>
      <c r="C211" s="17">
        <f t="shared" si="7"/>
        <v>662000</v>
      </c>
      <c r="D211" s="17">
        <f>IF(A211="","",'Savings Inputs'!$B$8)</f>
        <v>3000</v>
      </c>
      <c r="E211" s="17">
        <f>IF(A211="","",IF(A211='Savings Inputs'!$B$16,'Savings Inputs'!$B$9,0))</f>
        <v>0</v>
      </c>
      <c r="F211" s="17">
        <f t="shared" si="6"/>
        <v>665000</v>
      </c>
      <c r="G211" s="18">
        <f>IF(A211="","",F211/Dashboard!$B$7)</f>
        <v>4.4333333333333336</v>
      </c>
      <c r="H211" s="15">
        <f>IF(A211="","",IF(F211&gt;=Dashboard!$B$7,1,0))</f>
        <v>1</v>
      </c>
    </row>
    <row r="212" spans="1:8" ht="21" customHeight="1">
      <c r="A212" s="15">
        <f>IF('Savings Inputs'!$B$14,206,"")</f>
        <v>206</v>
      </c>
      <c r="B212" s="16">
        <f>IF(A212="","",DATE(YEAR('Savings Inputs'!$B$10),MONTH('Savings Inputs'!$B$10)+A212+1,0))</f>
        <v>52596</v>
      </c>
      <c r="C212" s="17">
        <f t="shared" si="7"/>
        <v>665000</v>
      </c>
      <c r="D212" s="17">
        <f>IF(A212="","",'Savings Inputs'!$B$8)</f>
        <v>3000</v>
      </c>
      <c r="E212" s="17">
        <f>IF(A212="","",IF(A212='Savings Inputs'!$B$16,'Savings Inputs'!$B$9,0))</f>
        <v>0</v>
      </c>
      <c r="F212" s="17">
        <f t="shared" si="6"/>
        <v>668000</v>
      </c>
      <c r="G212" s="18">
        <f>IF(A212="","",F212/Dashboard!$B$7)</f>
        <v>4.4533333333333331</v>
      </c>
      <c r="H212" s="15">
        <f>IF(A212="","",IF(F212&gt;=Dashboard!$B$7,1,0))</f>
        <v>1</v>
      </c>
    </row>
    <row r="213" spans="1:8" ht="21" customHeight="1">
      <c r="A213" s="15">
        <f>IF('Savings Inputs'!$B$14,207,"")</f>
        <v>207</v>
      </c>
      <c r="B213" s="16">
        <f>IF(A213="","",DATE(YEAR('Savings Inputs'!$B$10),MONTH('Savings Inputs'!$B$10)+A213+1,0))</f>
        <v>52627</v>
      </c>
      <c r="C213" s="17">
        <f t="shared" si="7"/>
        <v>668000</v>
      </c>
      <c r="D213" s="17">
        <f>IF(A213="","",'Savings Inputs'!$B$8)</f>
        <v>3000</v>
      </c>
      <c r="E213" s="17">
        <f>IF(A213="","",IF(A213='Savings Inputs'!$B$16,'Savings Inputs'!$B$9,0))</f>
        <v>0</v>
      </c>
      <c r="F213" s="17">
        <f t="shared" si="6"/>
        <v>671000</v>
      </c>
      <c r="G213" s="18">
        <f>IF(A213="","",F213/Dashboard!$B$7)</f>
        <v>4.4733333333333336</v>
      </c>
      <c r="H213" s="15">
        <f>IF(A213="","",IF(F213&gt;=Dashboard!$B$7,1,0))</f>
        <v>1</v>
      </c>
    </row>
    <row r="214" spans="1:8" ht="21" customHeight="1">
      <c r="A214" s="15">
        <f>IF('Savings Inputs'!$B$14,208,"")</f>
        <v>208</v>
      </c>
      <c r="B214" s="16">
        <f>IF(A214="","",DATE(YEAR('Savings Inputs'!$B$10),MONTH('Savings Inputs'!$B$10)+A214+1,0))</f>
        <v>52656</v>
      </c>
      <c r="C214" s="17">
        <f t="shared" si="7"/>
        <v>671000</v>
      </c>
      <c r="D214" s="17">
        <f>IF(A214="","",'Savings Inputs'!$B$8)</f>
        <v>3000</v>
      </c>
      <c r="E214" s="17">
        <f>IF(A214="","",IF(A214='Savings Inputs'!$B$16,'Savings Inputs'!$B$9,0))</f>
        <v>0</v>
      </c>
      <c r="F214" s="17">
        <f t="shared" si="6"/>
        <v>674000</v>
      </c>
      <c r="G214" s="18">
        <f>IF(A214="","",F214/Dashboard!$B$7)</f>
        <v>4.4933333333333332</v>
      </c>
      <c r="H214" s="15">
        <f>IF(A214="","",IF(F214&gt;=Dashboard!$B$7,1,0))</f>
        <v>1</v>
      </c>
    </row>
    <row r="215" spans="1:8" ht="21" customHeight="1">
      <c r="A215" s="15">
        <f>IF('Savings Inputs'!$B$14,209,"")</f>
        <v>209</v>
      </c>
      <c r="B215" s="16">
        <f>IF(A215="","",DATE(YEAR('Savings Inputs'!$B$10),MONTH('Savings Inputs'!$B$10)+A215+1,0))</f>
        <v>52687</v>
      </c>
      <c r="C215" s="17">
        <f t="shared" si="7"/>
        <v>674000</v>
      </c>
      <c r="D215" s="17">
        <f>IF(A215="","",'Savings Inputs'!$B$8)</f>
        <v>3000</v>
      </c>
      <c r="E215" s="17">
        <f>IF(A215="","",IF(A215='Savings Inputs'!$B$16,'Savings Inputs'!$B$9,0))</f>
        <v>0</v>
      </c>
      <c r="F215" s="17">
        <f t="shared" si="6"/>
        <v>677000</v>
      </c>
      <c r="G215" s="18">
        <f>IF(A215="","",F215/Dashboard!$B$7)</f>
        <v>4.5133333333333336</v>
      </c>
      <c r="H215" s="15">
        <f>IF(A215="","",IF(F215&gt;=Dashboard!$B$7,1,0))</f>
        <v>1</v>
      </c>
    </row>
    <row r="216" spans="1:8" ht="21" customHeight="1">
      <c r="A216" s="15">
        <f>IF('Savings Inputs'!$B$14,210,"")</f>
        <v>210</v>
      </c>
      <c r="B216" s="16">
        <f>IF(A216="","",DATE(YEAR('Savings Inputs'!$B$10),MONTH('Savings Inputs'!$B$10)+A216+1,0))</f>
        <v>52717</v>
      </c>
      <c r="C216" s="17">
        <f t="shared" si="7"/>
        <v>677000</v>
      </c>
      <c r="D216" s="17">
        <f>IF(A216="","",'Savings Inputs'!$B$8)</f>
        <v>3000</v>
      </c>
      <c r="E216" s="17">
        <f>IF(A216="","",IF(A216='Savings Inputs'!$B$16,'Savings Inputs'!$B$9,0))</f>
        <v>0</v>
      </c>
      <c r="F216" s="17">
        <f t="shared" si="6"/>
        <v>680000</v>
      </c>
      <c r="G216" s="18">
        <f>IF(A216="","",F216/Dashboard!$B$7)</f>
        <v>4.5333333333333332</v>
      </c>
      <c r="H216" s="15">
        <f>IF(A216="","",IF(F216&gt;=Dashboard!$B$7,1,0))</f>
        <v>1</v>
      </c>
    </row>
    <row r="217" spans="1:8" ht="21" customHeight="1">
      <c r="A217" s="15">
        <f>IF('Savings Inputs'!$B$14,211,"")</f>
        <v>211</v>
      </c>
      <c r="B217" s="16">
        <f>IF(A217="","",DATE(YEAR('Savings Inputs'!$B$10),MONTH('Savings Inputs'!$B$10)+A217+1,0))</f>
        <v>52748</v>
      </c>
      <c r="C217" s="17">
        <f t="shared" si="7"/>
        <v>680000</v>
      </c>
      <c r="D217" s="17">
        <f>IF(A217="","",'Savings Inputs'!$B$8)</f>
        <v>3000</v>
      </c>
      <c r="E217" s="17">
        <f>IF(A217="","",IF(A217='Savings Inputs'!$B$16,'Savings Inputs'!$B$9,0))</f>
        <v>0</v>
      </c>
      <c r="F217" s="17">
        <f t="shared" si="6"/>
        <v>683000</v>
      </c>
      <c r="G217" s="18">
        <f>IF(A217="","",F217/Dashboard!$B$7)</f>
        <v>4.5533333333333337</v>
      </c>
      <c r="H217" s="15">
        <f>IF(A217="","",IF(F217&gt;=Dashboard!$B$7,1,0))</f>
        <v>1</v>
      </c>
    </row>
    <row r="218" spans="1:8" ht="21" customHeight="1">
      <c r="A218" s="15">
        <f>IF('Savings Inputs'!$B$14,212,"")</f>
        <v>212</v>
      </c>
      <c r="B218" s="16">
        <f>IF(A218="","",DATE(YEAR('Savings Inputs'!$B$10),MONTH('Savings Inputs'!$B$10)+A218+1,0))</f>
        <v>52778</v>
      </c>
      <c r="C218" s="17">
        <f t="shared" si="7"/>
        <v>683000</v>
      </c>
      <c r="D218" s="17">
        <f>IF(A218="","",'Savings Inputs'!$B$8)</f>
        <v>3000</v>
      </c>
      <c r="E218" s="17">
        <f>IF(A218="","",IF(A218='Savings Inputs'!$B$16,'Savings Inputs'!$B$9,0))</f>
        <v>0</v>
      </c>
      <c r="F218" s="17">
        <f t="shared" si="6"/>
        <v>686000</v>
      </c>
      <c r="G218" s="18">
        <f>IF(A218="","",F218/Dashboard!$B$7)</f>
        <v>4.5733333333333333</v>
      </c>
      <c r="H218" s="15">
        <f>IF(A218="","",IF(F218&gt;=Dashboard!$B$7,1,0))</f>
        <v>1</v>
      </c>
    </row>
    <row r="219" spans="1:8" ht="21" customHeight="1">
      <c r="A219" s="15">
        <f>IF('Savings Inputs'!$B$14,213,"")</f>
        <v>213</v>
      </c>
      <c r="B219" s="16">
        <f>IF(A219="","",DATE(YEAR('Savings Inputs'!$B$10),MONTH('Savings Inputs'!$B$10)+A219+1,0))</f>
        <v>52809</v>
      </c>
      <c r="C219" s="17">
        <f t="shared" si="7"/>
        <v>686000</v>
      </c>
      <c r="D219" s="17">
        <f>IF(A219="","",'Savings Inputs'!$B$8)</f>
        <v>3000</v>
      </c>
      <c r="E219" s="17">
        <f>IF(A219="","",IF(A219='Savings Inputs'!$B$16,'Savings Inputs'!$B$9,0))</f>
        <v>0</v>
      </c>
      <c r="F219" s="17">
        <f t="shared" si="6"/>
        <v>689000</v>
      </c>
      <c r="G219" s="18">
        <f>IF(A219="","",F219/Dashboard!$B$7)</f>
        <v>4.5933333333333337</v>
      </c>
      <c r="H219" s="15">
        <f>IF(A219="","",IF(F219&gt;=Dashboard!$B$7,1,0))</f>
        <v>1</v>
      </c>
    </row>
    <row r="220" spans="1:8" ht="21" customHeight="1">
      <c r="A220" s="15">
        <f>IF('Savings Inputs'!$B$14,214,"")</f>
        <v>214</v>
      </c>
      <c r="B220" s="16">
        <f>IF(A220="","",DATE(YEAR('Savings Inputs'!$B$10),MONTH('Savings Inputs'!$B$10)+A220+1,0))</f>
        <v>52840</v>
      </c>
      <c r="C220" s="17">
        <f t="shared" si="7"/>
        <v>689000</v>
      </c>
      <c r="D220" s="17">
        <f>IF(A220="","",'Savings Inputs'!$B$8)</f>
        <v>3000</v>
      </c>
      <c r="E220" s="17">
        <f>IF(A220="","",IF(A220='Savings Inputs'!$B$16,'Savings Inputs'!$B$9,0))</f>
        <v>0</v>
      </c>
      <c r="F220" s="17">
        <f t="shared" si="6"/>
        <v>692000</v>
      </c>
      <c r="G220" s="18">
        <f>IF(A220="","",F220/Dashboard!$B$7)</f>
        <v>4.6133333333333333</v>
      </c>
      <c r="H220" s="15">
        <f>IF(A220="","",IF(F220&gt;=Dashboard!$B$7,1,0))</f>
        <v>1</v>
      </c>
    </row>
    <row r="221" spans="1:8" ht="21" customHeight="1">
      <c r="A221" s="15">
        <f>IF('Savings Inputs'!$B$14,215,"")</f>
        <v>215</v>
      </c>
      <c r="B221" s="16">
        <f>IF(A221="","",DATE(YEAR('Savings Inputs'!$B$10),MONTH('Savings Inputs'!$B$10)+A221+1,0))</f>
        <v>52870</v>
      </c>
      <c r="C221" s="17">
        <f t="shared" si="7"/>
        <v>692000</v>
      </c>
      <c r="D221" s="17">
        <f>IF(A221="","",'Savings Inputs'!$B$8)</f>
        <v>3000</v>
      </c>
      <c r="E221" s="17">
        <f>IF(A221="","",IF(A221='Savings Inputs'!$B$16,'Savings Inputs'!$B$9,0))</f>
        <v>0</v>
      </c>
      <c r="F221" s="17">
        <f t="shared" si="6"/>
        <v>695000</v>
      </c>
      <c r="G221" s="18">
        <f>IF(A221="","",F221/Dashboard!$B$7)</f>
        <v>4.6333333333333337</v>
      </c>
      <c r="H221" s="15">
        <f>IF(A221="","",IF(F221&gt;=Dashboard!$B$7,1,0))</f>
        <v>1</v>
      </c>
    </row>
    <row r="222" spans="1:8" ht="21" customHeight="1">
      <c r="A222" s="15">
        <f>IF('Savings Inputs'!$B$14,216,"")</f>
        <v>216</v>
      </c>
      <c r="B222" s="16">
        <f>IF(A222="","",DATE(YEAR('Savings Inputs'!$B$10),MONTH('Savings Inputs'!$B$10)+A222+1,0))</f>
        <v>52901</v>
      </c>
      <c r="C222" s="17">
        <f t="shared" si="7"/>
        <v>695000</v>
      </c>
      <c r="D222" s="17">
        <f>IF(A222="","",'Savings Inputs'!$B$8)</f>
        <v>3000</v>
      </c>
      <c r="E222" s="17">
        <f>IF(A222="","",IF(A222='Savings Inputs'!$B$16,'Savings Inputs'!$B$9,0))</f>
        <v>0</v>
      </c>
      <c r="F222" s="17">
        <f t="shared" si="6"/>
        <v>698000</v>
      </c>
      <c r="G222" s="18">
        <f>IF(A222="","",F222/Dashboard!$B$7)</f>
        <v>4.6533333333333333</v>
      </c>
      <c r="H222" s="15">
        <f>IF(A222="","",IF(F222&gt;=Dashboard!$B$7,1,0))</f>
        <v>1</v>
      </c>
    </row>
    <row r="223" spans="1:8" ht="21" customHeight="1">
      <c r="A223" s="15">
        <f>IF('Savings Inputs'!$B$14,217,"")</f>
        <v>217</v>
      </c>
      <c r="B223" s="16">
        <f>IF(A223="","",DATE(YEAR('Savings Inputs'!$B$10),MONTH('Savings Inputs'!$B$10)+A223+1,0))</f>
        <v>52931</v>
      </c>
      <c r="C223" s="17">
        <f t="shared" si="7"/>
        <v>698000</v>
      </c>
      <c r="D223" s="17">
        <f>IF(A223="","",'Savings Inputs'!$B$8)</f>
        <v>3000</v>
      </c>
      <c r="E223" s="17">
        <f>IF(A223="","",IF(A223='Savings Inputs'!$B$16,'Savings Inputs'!$B$9,0))</f>
        <v>0</v>
      </c>
      <c r="F223" s="17">
        <f t="shared" si="6"/>
        <v>701000</v>
      </c>
      <c r="G223" s="18">
        <f>IF(A223="","",F223/Dashboard!$B$7)</f>
        <v>4.6733333333333329</v>
      </c>
      <c r="H223" s="15">
        <f>IF(A223="","",IF(F223&gt;=Dashboard!$B$7,1,0))</f>
        <v>1</v>
      </c>
    </row>
    <row r="224" spans="1:8" ht="21" customHeight="1">
      <c r="A224" s="15">
        <f>IF('Savings Inputs'!$B$14,218,"")</f>
        <v>218</v>
      </c>
      <c r="B224" s="16">
        <f>IF(A224="","",DATE(YEAR('Savings Inputs'!$B$10),MONTH('Savings Inputs'!$B$10)+A224+1,0))</f>
        <v>52962</v>
      </c>
      <c r="C224" s="17">
        <f t="shared" si="7"/>
        <v>701000</v>
      </c>
      <c r="D224" s="17">
        <f>IF(A224="","",'Savings Inputs'!$B$8)</f>
        <v>3000</v>
      </c>
      <c r="E224" s="17">
        <f>IF(A224="","",IF(A224='Savings Inputs'!$B$16,'Savings Inputs'!$B$9,0))</f>
        <v>0</v>
      </c>
      <c r="F224" s="17">
        <f t="shared" si="6"/>
        <v>704000</v>
      </c>
      <c r="G224" s="18">
        <f>IF(A224="","",F224/Dashboard!$B$7)</f>
        <v>4.6933333333333334</v>
      </c>
      <c r="H224" s="15">
        <f>IF(A224="","",IF(F224&gt;=Dashboard!$B$7,1,0))</f>
        <v>1</v>
      </c>
    </row>
    <row r="225" spans="1:8" ht="21" customHeight="1">
      <c r="A225" s="15">
        <f>IF('Savings Inputs'!$B$14,219,"")</f>
        <v>219</v>
      </c>
      <c r="B225" s="16">
        <f>IF(A225="","",DATE(YEAR('Savings Inputs'!$B$10),MONTH('Savings Inputs'!$B$10)+A225+1,0))</f>
        <v>52993</v>
      </c>
      <c r="C225" s="17">
        <f t="shared" si="7"/>
        <v>704000</v>
      </c>
      <c r="D225" s="17">
        <f>IF(A225="","",'Savings Inputs'!$B$8)</f>
        <v>3000</v>
      </c>
      <c r="E225" s="17">
        <f>IF(A225="","",IF(A225='Savings Inputs'!$B$16,'Savings Inputs'!$B$9,0))</f>
        <v>0</v>
      </c>
      <c r="F225" s="17">
        <f t="shared" si="6"/>
        <v>707000</v>
      </c>
      <c r="G225" s="18">
        <f>IF(A225="","",F225/Dashboard!$B$7)</f>
        <v>4.7133333333333329</v>
      </c>
      <c r="H225" s="15">
        <f>IF(A225="","",IF(F225&gt;=Dashboard!$B$7,1,0))</f>
        <v>1</v>
      </c>
    </row>
    <row r="226" spans="1:8" ht="21" customHeight="1">
      <c r="A226" s="15">
        <f>IF('Savings Inputs'!$B$14,220,"")</f>
        <v>220</v>
      </c>
      <c r="B226" s="16">
        <f>IF(A226="","",DATE(YEAR('Savings Inputs'!$B$10),MONTH('Savings Inputs'!$B$10)+A226+1,0))</f>
        <v>53021</v>
      </c>
      <c r="C226" s="17">
        <f t="shared" si="7"/>
        <v>707000</v>
      </c>
      <c r="D226" s="17">
        <f>IF(A226="","",'Savings Inputs'!$B$8)</f>
        <v>3000</v>
      </c>
      <c r="E226" s="17">
        <f>IF(A226="","",IF(A226='Savings Inputs'!$B$16,'Savings Inputs'!$B$9,0))</f>
        <v>0</v>
      </c>
      <c r="F226" s="17">
        <f t="shared" si="6"/>
        <v>710000</v>
      </c>
      <c r="G226" s="18">
        <f>IF(A226="","",F226/Dashboard!$B$7)</f>
        <v>4.7333333333333334</v>
      </c>
      <c r="H226" s="15">
        <f>IF(A226="","",IF(F226&gt;=Dashboard!$B$7,1,0))</f>
        <v>1</v>
      </c>
    </row>
    <row r="227" spans="1:8" ht="21" customHeight="1">
      <c r="A227" s="15">
        <f>IF('Savings Inputs'!$B$14,221,"")</f>
        <v>221</v>
      </c>
      <c r="B227" s="16">
        <f>IF(A227="","",DATE(YEAR('Savings Inputs'!$B$10),MONTH('Savings Inputs'!$B$10)+A227+1,0))</f>
        <v>53052</v>
      </c>
      <c r="C227" s="17">
        <f t="shared" si="7"/>
        <v>710000</v>
      </c>
      <c r="D227" s="17">
        <f>IF(A227="","",'Savings Inputs'!$B$8)</f>
        <v>3000</v>
      </c>
      <c r="E227" s="17">
        <f>IF(A227="","",IF(A227='Savings Inputs'!$B$16,'Savings Inputs'!$B$9,0))</f>
        <v>0</v>
      </c>
      <c r="F227" s="17">
        <f t="shared" si="6"/>
        <v>713000</v>
      </c>
      <c r="G227" s="18">
        <f>IF(A227="","",F227/Dashboard!$B$7)</f>
        <v>4.753333333333333</v>
      </c>
      <c r="H227" s="15">
        <f>IF(A227="","",IF(F227&gt;=Dashboard!$B$7,1,0))</f>
        <v>1</v>
      </c>
    </row>
    <row r="228" spans="1:8" ht="21" customHeight="1">
      <c r="A228" s="15">
        <f>IF('Savings Inputs'!$B$14,222,"")</f>
        <v>222</v>
      </c>
      <c r="B228" s="16">
        <f>IF(A228="","",DATE(YEAR('Savings Inputs'!$B$10),MONTH('Savings Inputs'!$B$10)+A228+1,0))</f>
        <v>53082</v>
      </c>
      <c r="C228" s="17">
        <f t="shared" si="7"/>
        <v>713000</v>
      </c>
      <c r="D228" s="17">
        <f>IF(A228="","",'Savings Inputs'!$B$8)</f>
        <v>3000</v>
      </c>
      <c r="E228" s="17">
        <f>IF(A228="","",IF(A228='Savings Inputs'!$B$16,'Savings Inputs'!$B$9,0))</f>
        <v>0</v>
      </c>
      <c r="F228" s="17">
        <f t="shared" si="6"/>
        <v>716000</v>
      </c>
      <c r="G228" s="18">
        <f>IF(A228="","",F228/Dashboard!$B$7)</f>
        <v>4.7733333333333334</v>
      </c>
      <c r="H228" s="15">
        <f>IF(A228="","",IF(F228&gt;=Dashboard!$B$7,1,0))</f>
        <v>1</v>
      </c>
    </row>
    <row r="229" spans="1:8" ht="21" customHeight="1">
      <c r="A229" s="15">
        <f>IF('Savings Inputs'!$B$14,223,"")</f>
        <v>223</v>
      </c>
      <c r="B229" s="16">
        <f>IF(A229="","",DATE(YEAR('Savings Inputs'!$B$10),MONTH('Savings Inputs'!$B$10)+A229+1,0))</f>
        <v>53113</v>
      </c>
      <c r="C229" s="17">
        <f t="shared" si="7"/>
        <v>716000</v>
      </c>
      <c r="D229" s="17">
        <f>IF(A229="","",'Savings Inputs'!$B$8)</f>
        <v>3000</v>
      </c>
      <c r="E229" s="17">
        <f>IF(A229="","",IF(A229='Savings Inputs'!$B$16,'Savings Inputs'!$B$9,0))</f>
        <v>0</v>
      </c>
      <c r="F229" s="17">
        <f t="shared" si="6"/>
        <v>719000</v>
      </c>
      <c r="G229" s="18">
        <f>IF(A229="","",F229/Dashboard!$B$7)</f>
        <v>4.793333333333333</v>
      </c>
      <c r="H229" s="15">
        <f>IF(A229="","",IF(F229&gt;=Dashboard!$B$7,1,0))</f>
        <v>1</v>
      </c>
    </row>
    <row r="230" spans="1:8" ht="21" customHeight="1">
      <c r="A230" s="15">
        <f>IF('Savings Inputs'!$B$14,224,"")</f>
        <v>224</v>
      </c>
      <c r="B230" s="16">
        <f>IF(A230="","",DATE(YEAR('Savings Inputs'!$B$10),MONTH('Savings Inputs'!$B$10)+A230+1,0))</f>
        <v>53143</v>
      </c>
      <c r="C230" s="17">
        <f t="shared" si="7"/>
        <v>719000</v>
      </c>
      <c r="D230" s="17">
        <f>IF(A230="","",'Savings Inputs'!$B$8)</f>
        <v>3000</v>
      </c>
      <c r="E230" s="17">
        <f>IF(A230="","",IF(A230='Savings Inputs'!$B$16,'Savings Inputs'!$B$9,0))</f>
        <v>0</v>
      </c>
      <c r="F230" s="17">
        <f t="shared" si="6"/>
        <v>722000</v>
      </c>
      <c r="G230" s="18">
        <f>IF(A230="","",F230/Dashboard!$B$7)</f>
        <v>4.8133333333333335</v>
      </c>
      <c r="H230" s="15">
        <f>IF(A230="","",IF(F230&gt;=Dashboard!$B$7,1,0))</f>
        <v>1</v>
      </c>
    </row>
    <row r="231" spans="1:8" ht="21" customHeight="1">
      <c r="A231" s="15">
        <f>IF('Savings Inputs'!$B$14,225,"")</f>
        <v>225</v>
      </c>
      <c r="B231" s="16">
        <f>IF(A231="","",DATE(YEAR('Savings Inputs'!$B$10),MONTH('Savings Inputs'!$B$10)+A231+1,0))</f>
        <v>53174</v>
      </c>
      <c r="C231" s="17">
        <f t="shared" si="7"/>
        <v>722000</v>
      </c>
      <c r="D231" s="17">
        <f>IF(A231="","",'Savings Inputs'!$B$8)</f>
        <v>3000</v>
      </c>
      <c r="E231" s="17">
        <f>IF(A231="","",IF(A231='Savings Inputs'!$B$16,'Savings Inputs'!$B$9,0))</f>
        <v>0</v>
      </c>
      <c r="F231" s="17">
        <f t="shared" si="6"/>
        <v>725000</v>
      </c>
      <c r="G231" s="18">
        <f>IF(A231="","",F231/Dashboard!$B$7)</f>
        <v>4.833333333333333</v>
      </c>
      <c r="H231" s="15">
        <f>IF(A231="","",IF(F231&gt;=Dashboard!$B$7,1,0))</f>
        <v>1</v>
      </c>
    </row>
    <row r="232" spans="1:8" ht="21" customHeight="1">
      <c r="A232" s="15">
        <f>IF('Savings Inputs'!$B$14,226,"")</f>
        <v>226</v>
      </c>
      <c r="B232" s="16">
        <f>IF(A232="","",DATE(YEAR('Savings Inputs'!$B$10),MONTH('Savings Inputs'!$B$10)+A232+1,0))</f>
        <v>53205</v>
      </c>
      <c r="C232" s="17">
        <f t="shared" si="7"/>
        <v>725000</v>
      </c>
      <c r="D232" s="17">
        <f>IF(A232="","",'Savings Inputs'!$B$8)</f>
        <v>3000</v>
      </c>
      <c r="E232" s="17">
        <f>IF(A232="","",IF(A232='Savings Inputs'!$B$16,'Savings Inputs'!$B$9,0))</f>
        <v>0</v>
      </c>
      <c r="F232" s="17">
        <f t="shared" si="6"/>
        <v>728000</v>
      </c>
      <c r="G232" s="18">
        <f>IF(A232="","",F232/Dashboard!$B$7)</f>
        <v>4.8533333333333335</v>
      </c>
      <c r="H232" s="15">
        <f>IF(A232="","",IF(F232&gt;=Dashboard!$B$7,1,0))</f>
        <v>1</v>
      </c>
    </row>
    <row r="233" spans="1:8" ht="21" customHeight="1">
      <c r="A233" s="15">
        <f>IF('Savings Inputs'!$B$14,227,"")</f>
        <v>227</v>
      </c>
      <c r="B233" s="16">
        <f>IF(A233="","",DATE(YEAR('Savings Inputs'!$B$10),MONTH('Savings Inputs'!$B$10)+A233+1,0))</f>
        <v>53235</v>
      </c>
      <c r="C233" s="17">
        <f t="shared" si="7"/>
        <v>728000</v>
      </c>
      <c r="D233" s="17">
        <f>IF(A233="","",'Savings Inputs'!$B$8)</f>
        <v>3000</v>
      </c>
      <c r="E233" s="17">
        <f>IF(A233="","",IF(A233='Savings Inputs'!$B$16,'Savings Inputs'!$B$9,0))</f>
        <v>0</v>
      </c>
      <c r="F233" s="17">
        <f t="shared" si="6"/>
        <v>731000</v>
      </c>
      <c r="G233" s="18">
        <f>IF(A233="","",F233/Dashboard!$B$7)</f>
        <v>4.8733333333333331</v>
      </c>
      <c r="H233" s="15">
        <f>IF(A233="","",IF(F233&gt;=Dashboard!$B$7,1,0))</f>
        <v>1</v>
      </c>
    </row>
    <row r="234" spans="1:8" ht="21" customHeight="1">
      <c r="A234" s="15">
        <f>IF('Savings Inputs'!$B$14,228,"")</f>
        <v>228</v>
      </c>
      <c r="B234" s="16">
        <f>IF(A234="","",DATE(YEAR('Savings Inputs'!$B$10),MONTH('Savings Inputs'!$B$10)+A234+1,0))</f>
        <v>53266</v>
      </c>
      <c r="C234" s="17">
        <f t="shared" si="7"/>
        <v>731000</v>
      </c>
      <c r="D234" s="17">
        <f>IF(A234="","",'Savings Inputs'!$B$8)</f>
        <v>3000</v>
      </c>
      <c r="E234" s="17">
        <f>IF(A234="","",IF(A234='Savings Inputs'!$B$16,'Savings Inputs'!$B$9,0))</f>
        <v>0</v>
      </c>
      <c r="F234" s="17">
        <f t="shared" si="6"/>
        <v>734000</v>
      </c>
      <c r="G234" s="18">
        <f>IF(A234="","",F234/Dashboard!$B$7)</f>
        <v>4.8933333333333335</v>
      </c>
      <c r="H234" s="15">
        <f>IF(A234="","",IF(F234&gt;=Dashboard!$B$7,1,0))</f>
        <v>1</v>
      </c>
    </row>
    <row r="235" spans="1:8" ht="21" customHeight="1">
      <c r="A235" s="15">
        <f>IF('Savings Inputs'!$B$14,229,"")</f>
        <v>229</v>
      </c>
      <c r="B235" s="16">
        <f>IF(A235="","",DATE(YEAR('Savings Inputs'!$B$10),MONTH('Savings Inputs'!$B$10)+A235+1,0))</f>
        <v>53296</v>
      </c>
      <c r="C235" s="17">
        <f t="shared" si="7"/>
        <v>734000</v>
      </c>
      <c r="D235" s="17">
        <f>IF(A235="","",'Savings Inputs'!$B$8)</f>
        <v>3000</v>
      </c>
      <c r="E235" s="17">
        <f>IF(A235="","",IF(A235='Savings Inputs'!$B$16,'Savings Inputs'!$B$9,0))</f>
        <v>0</v>
      </c>
      <c r="F235" s="17">
        <f t="shared" si="6"/>
        <v>737000</v>
      </c>
      <c r="G235" s="18">
        <f>IF(A235="","",F235/Dashboard!$B$7)</f>
        <v>4.9133333333333331</v>
      </c>
      <c r="H235" s="15">
        <f>IF(A235="","",IF(F235&gt;=Dashboard!$B$7,1,0))</f>
        <v>1</v>
      </c>
    </row>
    <row r="236" spans="1:8" ht="21" customHeight="1">
      <c r="A236" s="15">
        <f>IF('Savings Inputs'!$B$14,230,"")</f>
        <v>230</v>
      </c>
      <c r="B236" s="16">
        <f>IF(A236="","",DATE(YEAR('Savings Inputs'!$B$10),MONTH('Savings Inputs'!$B$10)+A236+1,0))</f>
        <v>53327</v>
      </c>
      <c r="C236" s="17">
        <f t="shared" si="7"/>
        <v>737000</v>
      </c>
      <c r="D236" s="17">
        <f>IF(A236="","",'Savings Inputs'!$B$8)</f>
        <v>3000</v>
      </c>
      <c r="E236" s="17">
        <f>IF(A236="","",IF(A236='Savings Inputs'!$B$16,'Savings Inputs'!$B$9,0))</f>
        <v>0</v>
      </c>
      <c r="F236" s="17">
        <f t="shared" si="6"/>
        <v>740000</v>
      </c>
      <c r="G236" s="18">
        <f>IF(A236="","",F236/Dashboard!$B$7)</f>
        <v>4.9333333333333336</v>
      </c>
      <c r="H236" s="15">
        <f>IF(A236="","",IF(F236&gt;=Dashboard!$B$7,1,0))</f>
        <v>1</v>
      </c>
    </row>
    <row r="237" spans="1:8" ht="21" customHeight="1">
      <c r="A237" s="15">
        <f>IF('Savings Inputs'!$B$14,231,"")</f>
        <v>231</v>
      </c>
      <c r="B237" s="16">
        <f>IF(A237="","",DATE(YEAR('Savings Inputs'!$B$10),MONTH('Savings Inputs'!$B$10)+A237+1,0))</f>
        <v>53358</v>
      </c>
      <c r="C237" s="17">
        <f t="shared" si="7"/>
        <v>740000</v>
      </c>
      <c r="D237" s="17">
        <f>IF(A237="","",'Savings Inputs'!$B$8)</f>
        <v>3000</v>
      </c>
      <c r="E237" s="17">
        <f>IF(A237="","",IF(A237='Savings Inputs'!$B$16,'Savings Inputs'!$B$9,0))</f>
        <v>0</v>
      </c>
      <c r="F237" s="17">
        <f t="shared" si="6"/>
        <v>743000</v>
      </c>
      <c r="G237" s="18">
        <f>IF(A237="","",F237/Dashboard!$B$7)</f>
        <v>4.9533333333333331</v>
      </c>
      <c r="H237" s="15">
        <f>IF(A237="","",IF(F237&gt;=Dashboard!$B$7,1,0))</f>
        <v>1</v>
      </c>
    </row>
    <row r="238" spans="1:8" ht="21" customHeight="1">
      <c r="A238" s="15">
        <f>IF('Savings Inputs'!$B$14,232,"")</f>
        <v>232</v>
      </c>
      <c r="B238" s="16">
        <f>IF(A238="","",DATE(YEAR('Savings Inputs'!$B$10),MONTH('Savings Inputs'!$B$10)+A238+1,0))</f>
        <v>53386</v>
      </c>
      <c r="C238" s="17">
        <f t="shared" si="7"/>
        <v>743000</v>
      </c>
      <c r="D238" s="17">
        <f>IF(A238="","",'Savings Inputs'!$B$8)</f>
        <v>3000</v>
      </c>
      <c r="E238" s="17">
        <f>IF(A238="","",IF(A238='Savings Inputs'!$B$16,'Savings Inputs'!$B$9,0))</f>
        <v>0</v>
      </c>
      <c r="F238" s="17">
        <f t="shared" si="6"/>
        <v>746000</v>
      </c>
      <c r="G238" s="18">
        <f>IF(A238="","",F238/Dashboard!$B$7)</f>
        <v>4.9733333333333336</v>
      </c>
      <c r="H238" s="15">
        <f>IF(A238="","",IF(F238&gt;=Dashboard!$B$7,1,0))</f>
        <v>1</v>
      </c>
    </row>
    <row r="239" spans="1:8" ht="21" customHeight="1">
      <c r="A239" s="15">
        <f>IF('Savings Inputs'!$B$14,233,"")</f>
        <v>233</v>
      </c>
      <c r="B239" s="16">
        <f>IF(A239="","",DATE(YEAR('Savings Inputs'!$B$10),MONTH('Savings Inputs'!$B$10)+A239+1,0))</f>
        <v>53417</v>
      </c>
      <c r="C239" s="17">
        <f t="shared" si="7"/>
        <v>746000</v>
      </c>
      <c r="D239" s="17">
        <f>IF(A239="","",'Savings Inputs'!$B$8)</f>
        <v>3000</v>
      </c>
      <c r="E239" s="17">
        <f>IF(A239="","",IF(A239='Savings Inputs'!$B$16,'Savings Inputs'!$B$9,0))</f>
        <v>0</v>
      </c>
      <c r="F239" s="17">
        <f t="shared" si="6"/>
        <v>749000</v>
      </c>
      <c r="G239" s="18">
        <f>IF(A239="","",F239/Dashboard!$B$7)</f>
        <v>4.9933333333333332</v>
      </c>
      <c r="H239" s="15">
        <f>IF(A239="","",IF(F239&gt;=Dashboard!$B$7,1,0))</f>
        <v>1</v>
      </c>
    </row>
    <row r="240" spans="1:8" ht="21" customHeight="1">
      <c r="A240" s="15">
        <f>IF('Savings Inputs'!$B$14,234,"")</f>
        <v>234</v>
      </c>
      <c r="B240" s="16">
        <f>IF(A240="","",DATE(YEAR('Savings Inputs'!$B$10),MONTH('Savings Inputs'!$B$10)+A240+1,0))</f>
        <v>53447</v>
      </c>
      <c r="C240" s="17">
        <f t="shared" si="7"/>
        <v>749000</v>
      </c>
      <c r="D240" s="17">
        <f>IF(A240="","",'Savings Inputs'!$B$8)</f>
        <v>3000</v>
      </c>
      <c r="E240" s="17">
        <f>IF(A240="","",IF(A240='Savings Inputs'!$B$16,'Savings Inputs'!$B$9,0))</f>
        <v>0</v>
      </c>
      <c r="F240" s="17">
        <f t="shared" si="6"/>
        <v>752000</v>
      </c>
      <c r="G240" s="18">
        <f>IF(A240="","",F240/Dashboard!$B$7)</f>
        <v>5.0133333333333336</v>
      </c>
      <c r="H240" s="15">
        <f>IF(A240="","",IF(F240&gt;=Dashboard!$B$7,1,0))</f>
        <v>1</v>
      </c>
    </row>
    <row r="241" spans="1:8" ht="21" customHeight="1">
      <c r="A241" s="15">
        <f>IF('Savings Inputs'!$B$14,235,"")</f>
        <v>235</v>
      </c>
      <c r="B241" s="16">
        <f>IF(A241="","",DATE(YEAR('Savings Inputs'!$B$10),MONTH('Savings Inputs'!$B$10)+A241+1,0))</f>
        <v>53478</v>
      </c>
      <c r="C241" s="17">
        <f t="shared" si="7"/>
        <v>752000</v>
      </c>
      <c r="D241" s="17">
        <f>IF(A241="","",'Savings Inputs'!$B$8)</f>
        <v>3000</v>
      </c>
      <c r="E241" s="17">
        <f>IF(A241="","",IF(A241='Savings Inputs'!$B$16,'Savings Inputs'!$B$9,0))</f>
        <v>0</v>
      </c>
      <c r="F241" s="17">
        <f t="shared" si="6"/>
        <v>755000</v>
      </c>
      <c r="G241" s="18">
        <f>IF(A241="","",F241/Dashboard!$B$7)</f>
        <v>5.0333333333333332</v>
      </c>
      <c r="H241" s="15">
        <f>IF(A241="","",IF(F241&gt;=Dashboard!$B$7,1,0))</f>
        <v>1</v>
      </c>
    </row>
    <row r="242" spans="1:8" ht="21" customHeight="1">
      <c r="A242" s="15">
        <f>IF('Savings Inputs'!$B$14,236,"")</f>
        <v>236</v>
      </c>
      <c r="B242" s="16">
        <f>IF(A242="","",DATE(YEAR('Savings Inputs'!$B$10),MONTH('Savings Inputs'!$B$10)+A242+1,0))</f>
        <v>53508</v>
      </c>
      <c r="C242" s="17">
        <f t="shared" si="7"/>
        <v>755000</v>
      </c>
      <c r="D242" s="17">
        <f>IF(A242="","",'Savings Inputs'!$B$8)</f>
        <v>3000</v>
      </c>
      <c r="E242" s="17">
        <f>IF(A242="","",IF(A242='Savings Inputs'!$B$16,'Savings Inputs'!$B$9,0))</f>
        <v>0</v>
      </c>
      <c r="F242" s="17">
        <f t="shared" si="6"/>
        <v>758000</v>
      </c>
      <c r="G242" s="18">
        <f>IF(A242="","",F242/Dashboard!$B$7)</f>
        <v>5.0533333333333337</v>
      </c>
      <c r="H242" s="15">
        <f>IF(A242="","",IF(F242&gt;=Dashboard!$B$7,1,0))</f>
        <v>1</v>
      </c>
    </row>
    <row r="243" spans="1:8" ht="21" customHeight="1">
      <c r="A243" s="15">
        <f>IF('Savings Inputs'!$B$14,237,"")</f>
        <v>237</v>
      </c>
      <c r="B243" s="16">
        <f>IF(A243="","",DATE(YEAR('Savings Inputs'!$B$10),MONTH('Savings Inputs'!$B$10)+A243+1,0))</f>
        <v>53539</v>
      </c>
      <c r="C243" s="17">
        <f t="shared" si="7"/>
        <v>758000</v>
      </c>
      <c r="D243" s="17">
        <f>IF(A243="","",'Savings Inputs'!$B$8)</f>
        <v>3000</v>
      </c>
      <c r="E243" s="17">
        <f>IF(A243="","",IF(A243='Savings Inputs'!$B$16,'Savings Inputs'!$B$9,0))</f>
        <v>0</v>
      </c>
      <c r="F243" s="17">
        <f t="shared" si="6"/>
        <v>761000</v>
      </c>
      <c r="G243" s="18">
        <f>IF(A243="","",F243/Dashboard!$B$7)</f>
        <v>5.0733333333333333</v>
      </c>
      <c r="H243" s="15">
        <f>IF(A243="","",IF(F243&gt;=Dashboard!$B$7,1,0))</f>
        <v>1</v>
      </c>
    </row>
    <row r="244" spans="1:8" ht="21" customHeight="1">
      <c r="A244" s="15">
        <f>IF('Savings Inputs'!$B$14,238,"")</f>
        <v>238</v>
      </c>
      <c r="B244" s="16">
        <f>IF(A244="","",DATE(YEAR('Savings Inputs'!$B$10),MONTH('Savings Inputs'!$B$10)+A244+1,0))</f>
        <v>53570</v>
      </c>
      <c r="C244" s="17">
        <f t="shared" si="7"/>
        <v>761000</v>
      </c>
      <c r="D244" s="17">
        <f>IF(A244="","",'Savings Inputs'!$B$8)</f>
        <v>3000</v>
      </c>
      <c r="E244" s="17">
        <f>IF(A244="","",IF(A244='Savings Inputs'!$B$16,'Savings Inputs'!$B$9,0))</f>
        <v>0</v>
      </c>
      <c r="F244" s="17">
        <f t="shared" si="6"/>
        <v>764000</v>
      </c>
      <c r="G244" s="18">
        <f>IF(A244="","",F244/Dashboard!$B$7)</f>
        <v>5.0933333333333337</v>
      </c>
      <c r="H244" s="15">
        <f>IF(A244="","",IF(F244&gt;=Dashboard!$B$7,1,0))</f>
        <v>1</v>
      </c>
    </row>
    <row r="245" spans="1:8" ht="21" customHeight="1">
      <c r="A245" s="15">
        <f>IF('Savings Inputs'!$B$14,239,"")</f>
        <v>239</v>
      </c>
      <c r="B245" s="16">
        <f>IF(A245="","",DATE(YEAR('Savings Inputs'!$B$10),MONTH('Savings Inputs'!$B$10)+A245+1,0))</f>
        <v>53600</v>
      </c>
      <c r="C245" s="17">
        <f t="shared" si="7"/>
        <v>764000</v>
      </c>
      <c r="D245" s="17">
        <f>IF(A245="","",'Savings Inputs'!$B$8)</f>
        <v>3000</v>
      </c>
      <c r="E245" s="17">
        <f>IF(A245="","",IF(A245='Savings Inputs'!$B$16,'Savings Inputs'!$B$9,0))</f>
        <v>0</v>
      </c>
      <c r="F245" s="17">
        <f t="shared" si="6"/>
        <v>767000</v>
      </c>
      <c r="G245" s="18">
        <f>IF(A245="","",F245/Dashboard!$B$7)</f>
        <v>5.1133333333333333</v>
      </c>
      <c r="H245" s="15">
        <f>IF(A245="","",IF(F245&gt;=Dashboard!$B$7,1,0))</f>
        <v>1</v>
      </c>
    </row>
    <row r="246" spans="1:8" ht="21" customHeight="1">
      <c r="A246" s="15">
        <f>IF('Savings Inputs'!$B$14,240,"")</f>
        <v>240</v>
      </c>
      <c r="B246" s="16">
        <f>IF(A246="","",DATE(YEAR('Savings Inputs'!$B$10),MONTH('Savings Inputs'!$B$10)+A246+1,0))</f>
        <v>53631</v>
      </c>
      <c r="C246" s="17">
        <f t="shared" si="7"/>
        <v>767000</v>
      </c>
      <c r="D246" s="17">
        <f>IF(A246="","",'Savings Inputs'!$B$8)</f>
        <v>3000</v>
      </c>
      <c r="E246" s="17">
        <f>IF(A246="","",IF(A246='Savings Inputs'!$B$16,'Savings Inputs'!$B$9,0))</f>
        <v>0</v>
      </c>
      <c r="F246" s="17">
        <f t="shared" si="6"/>
        <v>770000</v>
      </c>
      <c r="G246" s="18">
        <f>IF(A246="","",F246/Dashboard!$B$7)</f>
        <v>5.1333333333333337</v>
      </c>
      <c r="H246" s="15">
        <f>IF(A246="","",IF(F246&gt;=Dashboard!$B$7,1,0))</f>
        <v>1</v>
      </c>
    </row>
    <row r="247" spans="1:8" ht="21" customHeight="1">
      <c r="A247" s="15">
        <f>IF('Savings Inputs'!$B$14,241,"")</f>
        <v>241</v>
      </c>
      <c r="B247" s="16">
        <f>IF(A247="","",DATE(YEAR('Savings Inputs'!$B$10),MONTH('Savings Inputs'!$B$10)+A247+1,0))</f>
        <v>53661</v>
      </c>
      <c r="C247" s="17">
        <f t="shared" si="7"/>
        <v>770000</v>
      </c>
      <c r="D247" s="17">
        <f>IF(A247="","",'Savings Inputs'!$B$8)</f>
        <v>3000</v>
      </c>
      <c r="E247" s="17">
        <f>IF(A247="","",IF(A247='Savings Inputs'!$B$16,'Savings Inputs'!$B$9,0))</f>
        <v>0</v>
      </c>
      <c r="F247" s="17">
        <f t="shared" si="6"/>
        <v>773000</v>
      </c>
      <c r="G247" s="18">
        <f>IF(A247="","",F247/Dashboard!$B$7)</f>
        <v>5.1533333333333333</v>
      </c>
      <c r="H247" s="15">
        <f>IF(A247="","",IF(F247&gt;=Dashboard!$B$7,1,0))</f>
        <v>1</v>
      </c>
    </row>
    <row r="248" spans="1:8" ht="21" customHeight="1">
      <c r="A248" s="15">
        <f>IF('Savings Inputs'!$B$14,242,"")</f>
        <v>242</v>
      </c>
      <c r="B248" s="16">
        <f>IF(A248="","",DATE(YEAR('Savings Inputs'!$B$10),MONTH('Savings Inputs'!$B$10)+A248+1,0))</f>
        <v>53692</v>
      </c>
      <c r="C248" s="17">
        <f t="shared" si="7"/>
        <v>773000</v>
      </c>
      <c r="D248" s="17">
        <f>IF(A248="","",'Savings Inputs'!$B$8)</f>
        <v>3000</v>
      </c>
      <c r="E248" s="17">
        <f>IF(A248="","",IF(A248='Savings Inputs'!$B$16,'Savings Inputs'!$B$9,0))</f>
        <v>0</v>
      </c>
      <c r="F248" s="17">
        <f t="shared" si="6"/>
        <v>776000</v>
      </c>
      <c r="G248" s="18">
        <f>IF(A248="","",F248/Dashboard!$B$7)</f>
        <v>5.1733333333333329</v>
      </c>
      <c r="H248" s="15">
        <f>IF(A248="","",IF(F248&gt;=Dashboard!$B$7,1,0))</f>
        <v>1</v>
      </c>
    </row>
    <row r="249" spans="1:8" ht="21" customHeight="1">
      <c r="A249" s="15">
        <f>IF('Savings Inputs'!$B$14,243,"")</f>
        <v>243</v>
      </c>
      <c r="B249" s="16">
        <f>IF(A249="","",DATE(YEAR('Savings Inputs'!$B$10),MONTH('Savings Inputs'!$B$10)+A249+1,0))</f>
        <v>53723</v>
      </c>
      <c r="C249" s="17">
        <f t="shared" si="7"/>
        <v>776000</v>
      </c>
      <c r="D249" s="17">
        <f>IF(A249="","",'Savings Inputs'!$B$8)</f>
        <v>3000</v>
      </c>
      <c r="E249" s="17">
        <f>IF(A249="","",IF(A249='Savings Inputs'!$B$16,'Savings Inputs'!$B$9,0))</f>
        <v>0</v>
      </c>
      <c r="F249" s="17">
        <f t="shared" si="6"/>
        <v>779000</v>
      </c>
      <c r="G249" s="18">
        <f>IF(A249="","",F249/Dashboard!$B$7)</f>
        <v>5.1933333333333334</v>
      </c>
      <c r="H249" s="15">
        <f>IF(A249="","",IF(F249&gt;=Dashboard!$B$7,1,0))</f>
        <v>1</v>
      </c>
    </row>
    <row r="250" spans="1:8" ht="21" customHeight="1">
      <c r="A250" s="15">
        <f>IF('Savings Inputs'!$B$14,244,"")</f>
        <v>244</v>
      </c>
      <c r="B250" s="16">
        <f>IF(A250="","",DATE(YEAR('Savings Inputs'!$B$10),MONTH('Savings Inputs'!$B$10)+A250+1,0))</f>
        <v>53751</v>
      </c>
      <c r="C250" s="17">
        <f t="shared" si="7"/>
        <v>779000</v>
      </c>
      <c r="D250" s="17">
        <f>IF(A250="","",'Savings Inputs'!$B$8)</f>
        <v>3000</v>
      </c>
      <c r="E250" s="17">
        <f>IF(A250="","",IF(A250='Savings Inputs'!$B$16,'Savings Inputs'!$B$9,0))</f>
        <v>0</v>
      </c>
      <c r="F250" s="17">
        <f t="shared" si="6"/>
        <v>782000</v>
      </c>
      <c r="G250" s="18">
        <f>IF(A250="","",F250/Dashboard!$B$7)</f>
        <v>5.2133333333333329</v>
      </c>
      <c r="H250" s="15">
        <f>IF(A250="","",IF(F250&gt;=Dashboard!$B$7,1,0))</f>
        <v>1</v>
      </c>
    </row>
    <row r="251" spans="1:8" ht="21" customHeight="1">
      <c r="A251" s="15">
        <f>IF('Savings Inputs'!$B$14,245,"")</f>
        <v>245</v>
      </c>
      <c r="B251" s="16">
        <f>IF(A251="","",DATE(YEAR('Savings Inputs'!$B$10),MONTH('Savings Inputs'!$B$10)+A251+1,0))</f>
        <v>53782</v>
      </c>
      <c r="C251" s="17">
        <f t="shared" si="7"/>
        <v>782000</v>
      </c>
      <c r="D251" s="17">
        <f>IF(A251="","",'Savings Inputs'!$B$8)</f>
        <v>3000</v>
      </c>
      <c r="E251" s="17">
        <f>IF(A251="","",IF(A251='Savings Inputs'!$B$16,'Savings Inputs'!$B$9,0))</f>
        <v>0</v>
      </c>
      <c r="F251" s="17">
        <f t="shared" si="6"/>
        <v>785000</v>
      </c>
      <c r="G251" s="18">
        <f>IF(A251="","",F251/Dashboard!$B$7)</f>
        <v>5.2333333333333334</v>
      </c>
      <c r="H251" s="15">
        <f>IF(A251="","",IF(F251&gt;=Dashboard!$B$7,1,0))</f>
        <v>1</v>
      </c>
    </row>
    <row r="252" spans="1:8" ht="21" customHeight="1">
      <c r="A252" s="15">
        <f>IF('Savings Inputs'!$B$14,246,"")</f>
        <v>246</v>
      </c>
      <c r="B252" s="16">
        <f>IF(A252="","",DATE(YEAR('Savings Inputs'!$B$10),MONTH('Savings Inputs'!$B$10)+A252+1,0))</f>
        <v>53812</v>
      </c>
      <c r="C252" s="17">
        <f t="shared" si="7"/>
        <v>785000</v>
      </c>
      <c r="D252" s="17">
        <f>IF(A252="","",'Savings Inputs'!$B$8)</f>
        <v>3000</v>
      </c>
      <c r="E252" s="17">
        <f>IF(A252="","",IF(A252='Savings Inputs'!$B$16,'Savings Inputs'!$B$9,0))</f>
        <v>0</v>
      </c>
      <c r="F252" s="17">
        <f t="shared" si="6"/>
        <v>788000</v>
      </c>
      <c r="G252" s="18">
        <f>IF(A252="","",F252/Dashboard!$B$7)</f>
        <v>5.253333333333333</v>
      </c>
      <c r="H252" s="15">
        <f>IF(A252="","",IF(F252&gt;=Dashboard!$B$7,1,0))</f>
        <v>1</v>
      </c>
    </row>
    <row r="253" spans="1:8" ht="21" customHeight="1">
      <c r="A253" s="15">
        <f>IF('Savings Inputs'!$B$14,247,"")</f>
        <v>247</v>
      </c>
      <c r="B253" s="16">
        <f>IF(A253="","",DATE(YEAR('Savings Inputs'!$B$10),MONTH('Savings Inputs'!$B$10)+A253+1,0))</f>
        <v>53843</v>
      </c>
      <c r="C253" s="17">
        <f t="shared" si="7"/>
        <v>788000</v>
      </c>
      <c r="D253" s="17">
        <f>IF(A253="","",'Savings Inputs'!$B$8)</f>
        <v>3000</v>
      </c>
      <c r="E253" s="17">
        <f>IF(A253="","",IF(A253='Savings Inputs'!$B$16,'Savings Inputs'!$B$9,0))</f>
        <v>0</v>
      </c>
      <c r="F253" s="17">
        <f t="shared" si="6"/>
        <v>791000</v>
      </c>
      <c r="G253" s="18">
        <f>IF(A253="","",F253/Dashboard!$B$7)</f>
        <v>5.2733333333333334</v>
      </c>
      <c r="H253" s="15">
        <f>IF(A253="","",IF(F253&gt;=Dashboard!$B$7,1,0))</f>
        <v>1</v>
      </c>
    </row>
    <row r="254" spans="1:8" ht="21" customHeight="1">
      <c r="A254" s="15">
        <f>IF('Savings Inputs'!$B$14,248,"")</f>
        <v>248</v>
      </c>
      <c r="B254" s="16">
        <f>IF(A254="","",DATE(YEAR('Savings Inputs'!$B$10),MONTH('Savings Inputs'!$B$10)+A254+1,0))</f>
        <v>53873</v>
      </c>
      <c r="C254" s="17">
        <f t="shared" si="7"/>
        <v>791000</v>
      </c>
      <c r="D254" s="17">
        <f>IF(A254="","",'Savings Inputs'!$B$8)</f>
        <v>3000</v>
      </c>
      <c r="E254" s="17">
        <f>IF(A254="","",IF(A254='Savings Inputs'!$B$16,'Savings Inputs'!$B$9,0))</f>
        <v>0</v>
      </c>
      <c r="F254" s="17">
        <f t="shared" si="6"/>
        <v>794000</v>
      </c>
      <c r="G254" s="18">
        <f>IF(A254="","",F254/Dashboard!$B$7)</f>
        <v>5.293333333333333</v>
      </c>
      <c r="H254" s="15">
        <f>IF(A254="","",IF(F254&gt;=Dashboard!$B$7,1,0))</f>
        <v>1</v>
      </c>
    </row>
    <row r="255" spans="1:8" ht="21" customHeight="1">
      <c r="A255" s="15">
        <f>IF('Savings Inputs'!$B$14,249,"")</f>
        <v>249</v>
      </c>
      <c r="B255" s="16">
        <f>IF(A255="","",DATE(YEAR('Savings Inputs'!$B$10),MONTH('Savings Inputs'!$B$10)+A255+1,0))</f>
        <v>53904</v>
      </c>
      <c r="C255" s="17">
        <f t="shared" si="7"/>
        <v>794000</v>
      </c>
      <c r="D255" s="17">
        <f>IF(A255="","",'Savings Inputs'!$B$8)</f>
        <v>3000</v>
      </c>
      <c r="E255" s="17">
        <f>IF(A255="","",IF(A255='Savings Inputs'!$B$16,'Savings Inputs'!$B$9,0))</f>
        <v>0</v>
      </c>
      <c r="F255" s="17">
        <f t="shared" si="6"/>
        <v>797000</v>
      </c>
      <c r="G255" s="18">
        <f>IF(A255="","",F255/Dashboard!$B$7)</f>
        <v>5.3133333333333335</v>
      </c>
      <c r="H255" s="15">
        <f>IF(A255="","",IF(F255&gt;=Dashboard!$B$7,1,0))</f>
        <v>1</v>
      </c>
    </row>
    <row r="256" spans="1:8" ht="21" customHeight="1">
      <c r="A256" s="15">
        <f>IF('Savings Inputs'!$B$14,250,"")</f>
        <v>250</v>
      </c>
      <c r="B256" s="16">
        <f>IF(A256="","",DATE(YEAR('Savings Inputs'!$B$10),MONTH('Savings Inputs'!$B$10)+A256+1,0))</f>
        <v>53935</v>
      </c>
      <c r="C256" s="17">
        <f t="shared" si="7"/>
        <v>797000</v>
      </c>
      <c r="D256" s="17">
        <f>IF(A256="","",'Savings Inputs'!$B$8)</f>
        <v>3000</v>
      </c>
      <c r="E256" s="17">
        <f>IF(A256="","",IF(A256='Savings Inputs'!$B$16,'Savings Inputs'!$B$9,0))</f>
        <v>0</v>
      </c>
      <c r="F256" s="17">
        <f t="shared" si="6"/>
        <v>800000</v>
      </c>
      <c r="G256" s="18">
        <f>IF(A256="","",F256/Dashboard!$B$7)</f>
        <v>5.333333333333333</v>
      </c>
      <c r="H256" s="15">
        <f>IF(A256="","",IF(F256&gt;=Dashboard!$B$7,1,0))</f>
        <v>1</v>
      </c>
    </row>
    <row r="257" spans="1:8" ht="21" customHeight="1">
      <c r="A257" s="15">
        <f>IF('Savings Inputs'!$B$14,251,"")</f>
        <v>251</v>
      </c>
      <c r="B257" s="16">
        <f>IF(A257="","",DATE(YEAR('Savings Inputs'!$B$10),MONTH('Savings Inputs'!$B$10)+A257+1,0))</f>
        <v>53965</v>
      </c>
      <c r="C257" s="17">
        <f t="shared" si="7"/>
        <v>800000</v>
      </c>
      <c r="D257" s="17">
        <f>IF(A257="","",'Savings Inputs'!$B$8)</f>
        <v>3000</v>
      </c>
      <c r="E257" s="17">
        <f>IF(A257="","",IF(A257='Savings Inputs'!$B$16,'Savings Inputs'!$B$9,0))</f>
        <v>0</v>
      </c>
      <c r="F257" s="17">
        <f t="shared" si="6"/>
        <v>803000</v>
      </c>
      <c r="G257" s="18">
        <f>IF(A257="","",F257/Dashboard!$B$7)</f>
        <v>5.3533333333333335</v>
      </c>
      <c r="H257" s="15">
        <f>IF(A257="","",IF(F257&gt;=Dashboard!$B$7,1,0))</f>
        <v>1</v>
      </c>
    </row>
    <row r="258" spans="1:8" ht="21" customHeight="1">
      <c r="A258" s="15">
        <f>IF('Savings Inputs'!$B$14,252,"")</f>
        <v>252</v>
      </c>
      <c r="B258" s="16">
        <f>IF(A258="","",DATE(YEAR('Savings Inputs'!$B$10),MONTH('Savings Inputs'!$B$10)+A258+1,0))</f>
        <v>53996</v>
      </c>
      <c r="C258" s="17">
        <f t="shared" si="7"/>
        <v>803000</v>
      </c>
      <c r="D258" s="17">
        <f>IF(A258="","",'Savings Inputs'!$B$8)</f>
        <v>3000</v>
      </c>
      <c r="E258" s="17">
        <f>IF(A258="","",IF(A258='Savings Inputs'!$B$16,'Savings Inputs'!$B$9,0))</f>
        <v>0</v>
      </c>
      <c r="F258" s="17">
        <f t="shared" si="6"/>
        <v>806000</v>
      </c>
      <c r="G258" s="18">
        <f>IF(A258="","",F258/Dashboard!$B$7)</f>
        <v>5.3733333333333331</v>
      </c>
      <c r="H258" s="15">
        <f>IF(A258="","",IF(F258&gt;=Dashboard!$B$7,1,0))</f>
        <v>1</v>
      </c>
    </row>
    <row r="259" spans="1:8" ht="21" customHeight="1">
      <c r="A259" s="15">
        <f>IF('Savings Inputs'!$B$14,253,"")</f>
        <v>253</v>
      </c>
      <c r="B259" s="16">
        <f>IF(A259="","",DATE(YEAR('Savings Inputs'!$B$10),MONTH('Savings Inputs'!$B$10)+A259+1,0))</f>
        <v>54026</v>
      </c>
      <c r="C259" s="17">
        <f t="shared" si="7"/>
        <v>806000</v>
      </c>
      <c r="D259" s="17">
        <f>IF(A259="","",'Savings Inputs'!$B$8)</f>
        <v>3000</v>
      </c>
      <c r="E259" s="17">
        <f>IF(A259="","",IF(A259='Savings Inputs'!$B$16,'Savings Inputs'!$B$9,0))</f>
        <v>0</v>
      </c>
      <c r="F259" s="17">
        <f t="shared" si="6"/>
        <v>809000</v>
      </c>
      <c r="G259" s="18">
        <f>IF(A259="","",F259/Dashboard!$B$7)</f>
        <v>5.3933333333333335</v>
      </c>
      <c r="H259" s="15">
        <f>IF(A259="","",IF(F259&gt;=Dashboard!$B$7,1,0))</f>
        <v>1</v>
      </c>
    </row>
    <row r="260" spans="1:8" ht="21" customHeight="1">
      <c r="A260" s="15">
        <f>IF('Savings Inputs'!$B$14,254,"")</f>
        <v>254</v>
      </c>
      <c r="B260" s="16">
        <f>IF(A260="","",DATE(YEAR('Savings Inputs'!$B$10),MONTH('Savings Inputs'!$B$10)+A260+1,0))</f>
        <v>54057</v>
      </c>
      <c r="C260" s="17">
        <f t="shared" si="7"/>
        <v>809000</v>
      </c>
      <c r="D260" s="17">
        <f>IF(A260="","",'Savings Inputs'!$B$8)</f>
        <v>3000</v>
      </c>
      <c r="E260" s="17">
        <f>IF(A260="","",IF(A260='Savings Inputs'!$B$16,'Savings Inputs'!$B$9,0))</f>
        <v>0</v>
      </c>
      <c r="F260" s="17">
        <f t="shared" si="6"/>
        <v>812000</v>
      </c>
      <c r="G260" s="18">
        <f>IF(A260="","",F260/Dashboard!$B$7)</f>
        <v>5.4133333333333331</v>
      </c>
      <c r="H260" s="15">
        <f>IF(A260="","",IF(F260&gt;=Dashboard!$B$7,1,0))</f>
        <v>1</v>
      </c>
    </row>
    <row r="261" spans="1:8" ht="21" customHeight="1">
      <c r="A261" s="15">
        <f>IF('Savings Inputs'!$B$14,255,"")</f>
        <v>255</v>
      </c>
      <c r="B261" s="16">
        <f>IF(A261="","",DATE(YEAR('Savings Inputs'!$B$10),MONTH('Savings Inputs'!$B$10)+A261+1,0))</f>
        <v>54088</v>
      </c>
      <c r="C261" s="17">
        <f t="shared" si="7"/>
        <v>812000</v>
      </c>
      <c r="D261" s="17">
        <f>IF(A261="","",'Savings Inputs'!$B$8)</f>
        <v>3000</v>
      </c>
      <c r="E261" s="17">
        <f>IF(A261="","",IF(A261='Savings Inputs'!$B$16,'Savings Inputs'!$B$9,0))</f>
        <v>0</v>
      </c>
      <c r="F261" s="17">
        <f t="shared" si="6"/>
        <v>815000</v>
      </c>
      <c r="G261" s="18">
        <f>IF(A261="","",F261/Dashboard!$B$7)</f>
        <v>5.4333333333333336</v>
      </c>
      <c r="H261" s="15">
        <f>IF(A261="","",IF(F261&gt;=Dashboard!$B$7,1,0))</f>
        <v>1</v>
      </c>
    </row>
    <row r="262" spans="1:8" ht="21" customHeight="1">
      <c r="A262" s="15">
        <f>IF('Savings Inputs'!$B$14,256,"")</f>
        <v>256</v>
      </c>
      <c r="B262" s="16">
        <f>IF(A262="","",DATE(YEAR('Savings Inputs'!$B$10),MONTH('Savings Inputs'!$B$10)+A262+1,0))</f>
        <v>54117</v>
      </c>
      <c r="C262" s="17">
        <f t="shared" si="7"/>
        <v>815000</v>
      </c>
      <c r="D262" s="17">
        <f>IF(A262="","",'Savings Inputs'!$B$8)</f>
        <v>3000</v>
      </c>
      <c r="E262" s="17">
        <f>IF(A262="","",IF(A262='Savings Inputs'!$B$16,'Savings Inputs'!$B$9,0))</f>
        <v>0</v>
      </c>
      <c r="F262" s="17">
        <f t="shared" si="6"/>
        <v>818000</v>
      </c>
      <c r="G262" s="18">
        <f>IF(A262="","",F262/Dashboard!$B$7)</f>
        <v>5.4533333333333331</v>
      </c>
      <c r="H262" s="15">
        <f>IF(A262="","",IF(F262&gt;=Dashboard!$B$7,1,0))</f>
        <v>1</v>
      </c>
    </row>
    <row r="263" spans="1:8" ht="21" customHeight="1">
      <c r="A263" s="15">
        <f>IF('Savings Inputs'!$B$14,257,"")</f>
        <v>257</v>
      </c>
      <c r="B263" s="16">
        <f>IF(A263="","",DATE(YEAR('Savings Inputs'!$B$10),MONTH('Savings Inputs'!$B$10)+A263+1,0))</f>
        <v>54148</v>
      </c>
      <c r="C263" s="17">
        <f t="shared" si="7"/>
        <v>818000</v>
      </c>
      <c r="D263" s="17">
        <f>IF(A263="","",'Savings Inputs'!$B$8)</f>
        <v>3000</v>
      </c>
      <c r="E263" s="17">
        <f>IF(A263="","",IF(A263='Savings Inputs'!$B$16,'Savings Inputs'!$B$9,0))</f>
        <v>0</v>
      </c>
      <c r="F263" s="17">
        <f t="shared" ref="F263:F326" si="8">IF(A263="","",SUM(C263:E263))</f>
        <v>821000</v>
      </c>
      <c r="G263" s="18">
        <f>IF(A263="","",F263/Dashboard!$B$7)</f>
        <v>5.4733333333333336</v>
      </c>
      <c r="H263" s="15">
        <f>IF(A263="","",IF(F263&gt;=Dashboard!$B$7,1,0))</f>
        <v>1</v>
      </c>
    </row>
    <row r="264" spans="1:8" ht="21" customHeight="1">
      <c r="A264" s="15">
        <f>IF('Savings Inputs'!$B$14,258,"")</f>
        <v>258</v>
      </c>
      <c r="B264" s="16">
        <f>IF(A264="","",DATE(YEAR('Savings Inputs'!$B$10),MONTH('Savings Inputs'!$B$10)+A264+1,0))</f>
        <v>54178</v>
      </c>
      <c r="C264" s="17">
        <f t="shared" ref="C264:C327" si="9">IF(A264="","",F263)</f>
        <v>821000</v>
      </c>
      <c r="D264" s="17">
        <f>IF(A264="","",'Savings Inputs'!$B$8)</f>
        <v>3000</v>
      </c>
      <c r="E264" s="17">
        <f>IF(A264="","",IF(A264='Savings Inputs'!$B$16,'Savings Inputs'!$B$9,0))</f>
        <v>0</v>
      </c>
      <c r="F264" s="17">
        <f t="shared" si="8"/>
        <v>824000</v>
      </c>
      <c r="G264" s="18">
        <f>IF(A264="","",F264/Dashboard!$B$7)</f>
        <v>5.4933333333333332</v>
      </c>
      <c r="H264" s="15">
        <f>IF(A264="","",IF(F264&gt;=Dashboard!$B$7,1,0))</f>
        <v>1</v>
      </c>
    </row>
    <row r="265" spans="1:8" ht="21" customHeight="1">
      <c r="A265" s="15">
        <f>IF('Savings Inputs'!$B$14,259,"")</f>
        <v>259</v>
      </c>
      <c r="B265" s="16">
        <f>IF(A265="","",DATE(YEAR('Savings Inputs'!$B$10),MONTH('Savings Inputs'!$B$10)+A265+1,0))</f>
        <v>54209</v>
      </c>
      <c r="C265" s="17">
        <f t="shared" si="9"/>
        <v>824000</v>
      </c>
      <c r="D265" s="17">
        <f>IF(A265="","",'Savings Inputs'!$B$8)</f>
        <v>3000</v>
      </c>
      <c r="E265" s="17">
        <f>IF(A265="","",IF(A265='Savings Inputs'!$B$16,'Savings Inputs'!$B$9,0))</f>
        <v>0</v>
      </c>
      <c r="F265" s="17">
        <f t="shared" si="8"/>
        <v>827000</v>
      </c>
      <c r="G265" s="18">
        <f>IF(A265="","",F265/Dashboard!$B$7)</f>
        <v>5.5133333333333336</v>
      </c>
      <c r="H265" s="15">
        <f>IF(A265="","",IF(F265&gt;=Dashboard!$B$7,1,0))</f>
        <v>1</v>
      </c>
    </row>
    <row r="266" spans="1:8" ht="21" customHeight="1">
      <c r="A266" s="15">
        <f>IF('Savings Inputs'!$B$14,260,"")</f>
        <v>260</v>
      </c>
      <c r="B266" s="16">
        <f>IF(A266="","",DATE(YEAR('Savings Inputs'!$B$10),MONTH('Savings Inputs'!$B$10)+A266+1,0))</f>
        <v>54239</v>
      </c>
      <c r="C266" s="17">
        <f t="shared" si="9"/>
        <v>827000</v>
      </c>
      <c r="D266" s="17">
        <f>IF(A266="","",'Savings Inputs'!$B$8)</f>
        <v>3000</v>
      </c>
      <c r="E266" s="17">
        <f>IF(A266="","",IF(A266='Savings Inputs'!$B$16,'Savings Inputs'!$B$9,0))</f>
        <v>0</v>
      </c>
      <c r="F266" s="17">
        <f t="shared" si="8"/>
        <v>830000</v>
      </c>
      <c r="G266" s="18">
        <f>IF(A266="","",F266/Dashboard!$B$7)</f>
        <v>5.5333333333333332</v>
      </c>
      <c r="H266" s="15">
        <f>IF(A266="","",IF(F266&gt;=Dashboard!$B$7,1,0))</f>
        <v>1</v>
      </c>
    </row>
    <row r="267" spans="1:8" ht="21" customHeight="1">
      <c r="A267" s="15">
        <f>IF('Savings Inputs'!$B$14,261,"")</f>
        <v>261</v>
      </c>
      <c r="B267" s="16">
        <f>IF(A267="","",DATE(YEAR('Savings Inputs'!$B$10),MONTH('Savings Inputs'!$B$10)+A267+1,0))</f>
        <v>54270</v>
      </c>
      <c r="C267" s="17">
        <f t="shared" si="9"/>
        <v>830000</v>
      </c>
      <c r="D267" s="17">
        <f>IF(A267="","",'Savings Inputs'!$B$8)</f>
        <v>3000</v>
      </c>
      <c r="E267" s="17">
        <f>IF(A267="","",IF(A267='Savings Inputs'!$B$16,'Savings Inputs'!$B$9,0))</f>
        <v>0</v>
      </c>
      <c r="F267" s="17">
        <f t="shared" si="8"/>
        <v>833000</v>
      </c>
      <c r="G267" s="18">
        <f>IF(A267="","",F267/Dashboard!$B$7)</f>
        <v>5.5533333333333337</v>
      </c>
      <c r="H267" s="15">
        <f>IF(A267="","",IF(F267&gt;=Dashboard!$B$7,1,0))</f>
        <v>1</v>
      </c>
    </row>
    <row r="268" spans="1:8" ht="21" customHeight="1">
      <c r="A268" s="15">
        <f>IF('Savings Inputs'!$B$14,262,"")</f>
        <v>262</v>
      </c>
      <c r="B268" s="16">
        <f>IF(A268="","",DATE(YEAR('Savings Inputs'!$B$10),MONTH('Savings Inputs'!$B$10)+A268+1,0))</f>
        <v>54301</v>
      </c>
      <c r="C268" s="17">
        <f t="shared" si="9"/>
        <v>833000</v>
      </c>
      <c r="D268" s="17">
        <f>IF(A268="","",'Savings Inputs'!$B$8)</f>
        <v>3000</v>
      </c>
      <c r="E268" s="17">
        <f>IF(A268="","",IF(A268='Savings Inputs'!$B$16,'Savings Inputs'!$B$9,0))</f>
        <v>0</v>
      </c>
      <c r="F268" s="17">
        <f t="shared" si="8"/>
        <v>836000</v>
      </c>
      <c r="G268" s="18">
        <f>IF(A268="","",F268/Dashboard!$B$7)</f>
        <v>5.5733333333333333</v>
      </c>
      <c r="H268" s="15">
        <f>IF(A268="","",IF(F268&gt;=Dashboard!$B$7,1,0))</f>
        <v>1</v>
      </c>
    </row>
    <row r="269" spans="1:8" ht="21" customHeight="1">
      <c r="A269" s="15">
        <f>IF('Savings Inputs'!$B$14,263,"")</f>
        <v>263</v>
      </c>
      <c r="B269" s="16">
        <f>IF(A269="","",DATE(YEAR('Savings Inputs'!$B$10),MONTH('Savings Inputs'!$B$10)+A269+1,0))</f>
        <v>54331</v>
      </c>
      <c r="C269" s="17">
        <f t="shared" si="9"/>
        <v>836000</v>
      </c>
      <c r="D269" s="17">
        <f>IF(A269="","",'Savings Inputs'!$B$8)</f>
        <v>3000</v>
      </c>
      <c r="E269" s="17">
        <f>IF(A269="","",IF(A269='Savings Inputs'!$B$16,'Savings Inputs'!$B$9,0))</f>
        <v>0</v>
      </c>
      <c r="F269" s="17">
        <f t="shared" si="8"/>
        <v>839000</v>
      </c>
      <c r="G269" s="18">
        <f>IF(A269="","",F269/Dashboard!$B$7)</f>
        <v>5.5933333333333337</v>
      </c>
      <c r="H269" s="15">
        <f>IF(A269="","",IF(F269&gt;=Dashboard!$B$7,1,0))</f>
        <v>1</v>
      </c>
    </row>
    <row r="270" spans="1:8" ht="21" customHeight="1">
      <c r="A270" s="15">
        <f>IF('Savings Inputs'!$B$14,264,"")</f>
        <v>264</v>
      </c>
      <c r="B270" s="16">
        <f>IF(A270="","",DATE(YEAR('Savings Inputs'!$B$10),MONTH('Savings Inputs'!$B$10)+A270+1,0))</f>
        <v>54362</v>
      </c>
      <c r="C270" s="17">
        <f t="shared" si="9"/>
        <v>839000</v>
      </c>
      <c r="D270" s="17">
        <f>IF(A270="","",'Savings Inputs'!$B$8)</f>
        <v>3000</v>
      </c>
      <c r="E270" s="17">
        <f>IF(A270="","",IF(A270='Savings Inputs'!$B$16,'Savings Inputs'!$B$9,0))</f>
        <v>0</v>
      </c>
      <c r="F270" s="17">
        <f t="shared" si="8"/>
        <v>842000</v>
      </c>
      <c r="G270" s="18">
        <f>IF(A270="","",F270/Dashboard!$B$7)</f>
        <v>5.6133333333333333</v>
      </c>
      <c r="H270" s="15">
        <f>IF(A270="","",IF(F270&gt;=Dashboard!$B$7,1,0))</f>
        <v>1</v>
      </c>
    </row>
    <row r="271" spans="1:8" ht="21" customHeight="1">
      <c r="A271" s="15">
        <f>IF('Savings Inputs'!$B$14,265,"")</f>
        <v>265</v>
      </c>
      <c r="B271" s="16">
        <f>IF(A271="","",DATE(YEAR('Savings Inputs'!$B$10),MONTH('Savings Inputs'!$B$10)+A271+1,0))</f>
        <v>54392</v>
      </c>
      <c r="C271" s="17">
        <f t="shared" si="9"/>
        <v>842000</v>
      </c>
      <c r="D271" s="17">
        <f>IF(A271="","",'Savings Inputs'!$B$8)</f>
        <v>3000</v>
      </c>
      <c r="E271" s="17">
        <f>IF(A271="","",IF(A271='Savings Inputs'!$B$16,'Savings Inputs'!$B$9,0))</f>
        <v>0</v>
      </c>
      <c r="F271" s="17">
        <f t="shared" si="8"/>
        <v>845000</v>
      </c>
      <c r="G271" s="18">
        <f>IF(A271="","",F271/Dashboard!$B$7)</f>
        <v>5.6333333333333337</v>
      </c>
      <c r="H271" s="15">
        <f>IF(A271="","",IF(F271&gt;=Dashboard!$B$7,1,0))</f>
        <v>1</v>
      </c>
    </row>
    <row r="272" spans="1:8" ht="21" customHeight="1">
      <c r="A272" s="15">
        <f>IF('Savings Inputs'!$B$14,266,"")</f>
        <v>266</v>
      </c>
      <c r="B272" s="16">
        <f>IF(A272="","",DATE(YEAR('Savings Inputs'!$B$10),MONTH('Savings Inputs'!$B$10)+A272+1,0))</f>
        <v>54423</v>
      </c>
      <c r="C272" s="17">
        <f t="shared" si="9"/>
        <v>845000</v>
      </c>
      <c r="D272" s="17">
        <f>IF(A272="","",'Savings Inputs'!$B$8)</f>
        <v>3000</v>
      </c>
      <c r="E272" s="17">
        <f>IF(A272="","",IF(A272='Savings Inputs'!$B$16,'Savings Inputs'!$B$9,0))</f>
        <v>0</v>
      </c>
      <c r="F272" s="17">
        <f t="shared" si="8"/>
        <v>848000</v>
      </c>
      <c r="G272" s="18">
        <f>IF(A272="","",F272/Dashboard!$B$7)</f>
        <v>5.6533333333333333</v>
      </c>
      <c r="H272" s="15">
        <f>IF(A272="","",IF(F272&gt;=Dashboard!$B$7,1,0))</f>
        <v>1</v>
      </c>
    </row>
    <row r="273" spans="1:8" ht="21" customHeight="1">
      <c r="A273" s="15">
        <f>IF('Savings Inputs'!$B$14,267,"")</f>
        <v>267</v>
      </c>
      <c r="B273" s="16">
        <f>IF(A273="","",DATE(YEAR('Savings Inputs'!$B$10),MONTH('Savings Inputs'!$B$10)+A273+1,0))</f>
        <v>54454</v>
      </c>
      <c r="C273" s="17">
        <f t="shared" si="9"/>
        <v>848000</v>
      </c>
      <c r="D273" s="17">
        <f>IF(A273="","",'Savings Inputs'!$B$8)</f>
        <v>3000</v>
      </c>
      <c r="E273" s="17">
        <f>IF(A273="","",IF(A273='Savings Inputs'!$B$16,'Savings Inputs'!$B$9,0))</f>
        <v>0</v>
      </c>
      <c r="F273" s="17">
        <f t="shared" si="8"/>
        <v>851000</v>
      </c>
      <c r="G273" s="18">
        <f>IF(A273="","",F273/Dashboard!$B$7)</f>
        <v>5.6733333333333329</v>
      </c>
      <c r="H273" s="15">
        <f>IF(A273="","",IF(F273&gt;=Dashboard!$B$7,1,0))</f>
        <v>1</v>
      </c>
    </row>
    <row r="274" spans="1:8" ht="21" customHeight="1">
      <c r="A274" s="15">
        <f>IF('Savings Inputs'!$B$14,268,"")</f>
        <v>268</v>
      </c>
      <c r="B274" s="16">
        <f>IF(A274="","",DATE(YEAR('Savings Inputs'!$B$10),MONTH('Savings Inputs'!$B$10)+A274+1,0))</f>
        <v>54482</v>
      </c>
      <c r="C274" s="17">
        <f t="shared" si="9"/>
        <v>851000</v>
      </c>
      <c r="D274" s="17">
        <f>IF(A274="","",'Savings Inputs'!$B$8)</f>
        <v>3000</v>
      </c>
      <c r="E274" s="17">
        <f>IF(A274="","",IF(A274='Savings Inputs'!$B$16,'Savings Inputs'!$B$9,0))</f>
        <v>0</v>
      </c>
      <c r="F274" s="17">
        <f t="shared" si="8"/>
        <v>854000</v>
      </c>
      <c r="G274" s="18">
        <f>IF(A274="","",F274/Dashboard!$B$7)</f>
        <v>5.6933333333333334</v>
      </c>
      <c r="H274" s="15">
        <f>IF(A274="","",IF(F274&gt;=Dashboard!$B$7,1,0))</f>
        <v>1</v>
      </c>
    </row>
    <row r="275" spans="1:8" ht="21" customHeight="1">
      <c r="A275" s="15">
        <f>IF('Savings Inputs'!$B$14,269,"")</f>
        <v>269</v>
      </c>
      <c r="B275" s="16">
        <f>IF(A275="","",DATE(YEAR('Savings Inputs'!$B$10),MONTH('Savings Inputs'!$B$10)+A275+1,0))</f>
        <v>54513</v>
      </c>
      <c r="C275" s="17">
        <f t="shared" si="9"/>
        <v>854000</v>
      </c>
      <c r="D275" s="17">
        <f>IF(A275="","",'Savings Inputs'!$B$8)</f>
        <v>3000</v>
      </c>
      <c r="E275" s="17">
        <f>IF(A275="","",IF(A275='Savings Inputs'!$B$16,'Savings Inputs'!$B$9,0))</f>
        <v>0</v>
      </c>
      <c r="F275" s="17">
        <f t="shared" si="8"/>
        <v>857000</v>
      </c>
      <c r="G275" s="18">
        <f>IF(A275="","",F275/Dashboard!$B$7)</f>
        <v>5.7133333333333329</v>
      </c>
      <c r="H275" s="15">
        <f>IF(A275="","",IF(F275&gt;=Dashboard!$B$7,1,0))</f>
        <v>1</v>
      </c>
    </row>
    <row r="276" spans="1:8" ht="21" customHeight="1">
      <c r="A276" s="15">
        <f>IF('Savings Inputs'!$B$14,270,"")</f>
        <v>270</v>
      </c>
      <c r="B276" s="16">
        <f>IF(A276="","",DATE(YEAR('Savings Inputs'!$B$10),MONTH('Savings Inputs'!$B$10)+A276+1,0))</f>
        <v>54543</v>
      </c>
      <c r="C276" s="17">
        <f t="shared" si="9"/>
        <v>857000</v>
      </c>
      <c r="D276" s="17">
        <f>IF(A276="","",'Savings Inputs'!$B$8)</f>
        <v>3000</v>
      </c>
      <c r="E276" s="17">
        <f>IF(A276="","",IF(A276='Savings Inputs'!$B$16,'Savings Inputs'!$B$9,0))</f>
        <v>0</v>
      </c>
      <c r="F276" s="17">
        <f t="shared" si="8"/>
        <v>860000</v>
      </c>
      <c r="G276" s="18">
        <f>IF(A276="","",F276/Dashboard!$B$7)</f>
        <v>5.7333333333333334</v>
      </c>
      <c r="H276" s="15">
        <f>IF(A276="","",IF(F276&gt;=Dashboard!$B$7,1,0))</f>
        <v>1</v>
      </c>
    </row>
    <row r="277" spans="1:8" ht="21" customHeight="1">
      <c r="A277" s="15">
        <f>IF('Savings Inputs'!$B$14,271,"")</f>
        <v>271</v>
      </c>
      <c r="B277" s="16">
        <f>IF(A277="","",DATE(YEAR('Savings Inputs'!$B$10),MONTH('Savings Inputs'!$B$10)+A277+1,0))</f>
        <v>54574</v>
      </c>
      <c r="C277" s="17">
        <f t="shared" si="9"/>
        <v>860000</v>
      </c>
      <c r="D277" s="17">
        <f>IF(A277="","",'Savings Inputs'!$B$8)</f>
        <v>3000</v>
      </c>
      <c r="E277" s="17">
        <f>IF(A277="","",IF(A277='Savings Inputs'!$B$16,'Savings Inputs'!$B$9,0))</f>
        <v>0</v>
      </c>
      <c r="F277" s="17">
        <f t="shared" si="8"/>
        <v>863000</v>
      </c>
      <c r="G277" s="18">
        <f>IF(A277="","",F277/Dashboard!$B$7)</f>
        <v>5.753333333333333</v>
      </c>
      <c r="H277" s="15">
        <f>IF(A277="","",IF(F277&gt;=Dashboard!$B$7,1,0))</f>
        <v>1</v>
      </c>
    </row>
    <row r="278" spans="1:8" ht="21" customHeight="1">
      <c r="A278" s="15">
        <f>IF('Savings Inputs'!$B$14,272,"")</f>
        <v>272</v>
      </c>
      <c r="B278" s="16">
        <f>IF(A278="","",DATE(YEAR('Savings Inputs'!$B$10),MONTH('Savings Inputs'!$B$10)+A278+1,0))</f>
        <v>54604</v>
      </c>
      <c r="C278" s="17">
        <f t="shared" si="9"/>
        <v>863000</v>
      </c>
      <c r="D278" s="17">
        <f>IF(A278="","",'Savings Inputs'!$B$8)</f>
        <v>3000</v>
      </c>
      <c r="E278" s="17">
        <f>IF(A278="","",IF(A278='Savings Inputs'!$B$16,'Savings Inputs'!$B$9,0))</f>
        <v>0</v>
      </c>
      <c r="F278" s="17">
        <f t="shared" si="8"/>
        <v>866000</v>
      </c>
      <c r="G278" s="18">
        <f>IF(A278="","",F278/Dashboard!$B$7)</f>
        <v>5.7733333333333334</v>
      </c>
      <c r="H278" s="15">
        <f>IF(A278="","",IF(F278&gt;=Dashboard!$B$7,1,0))</f>
        <v>1</v>
      </c>
    </row>
    <row r="279" spans="1:8" ht="21" customHeight="1">
      <c r="A279" s="15">
        <f>IF('Savings Inputs'!$B$14,273,"")</f>
        <v>273</v>
      </c>
      <c r="B279" s="16">
        <f>IF(A279="","",DATE(YEAR('Savings Inputs'!$B$10),MONTH('Savings Inputs'!$B$10)+A279+1,0))</f>
        <v>54635</v>
      </c>
      <c r="C279" s="17">
        <f t="shared" si="9"/>
        <v>866000</v>
      </c>
      <c r="D279" s="17">
        <f>IF(A279="","",'Savings Inputs'!$B$8)</f>
        <v>3000</v>
      </c>
      <c r="E279" s="17">
        <f>IF(A279="","",IF(A279='Savings Inputs'!$B$16,'Savings Inputs'!$B$9,0))</f>
        <v>0</v>
      </c>
      <c r="F279" s="17">
        <f t="shared" si="8"/>
        <v>869000</v>
      </c>
      <c r="G279" s="18">
        <f>IF(A279="","",F279/Dashboard!$B$7)</f>
        <v>5.793333333333333</v>
      </c>
      <c r="H279" s="15">
        <f>IF(A279="","",IF(F279&gt;=Dashboard!$B$7,1,0))</f>
        <v>1</v>
      </c>
    </row>
    <row r="280" spans="1:8" ht="21" customHeight="1">
      <c r="A280" s="15">
        <f>IF('Savings Inputs'!$B$14,274,"")</f>
        <v>274</v>
      </c>
      <c r="B280" s="16">
        <f>IF(A280="","",DATE(YEAR('Savings Inputs'!$B$10),MONTH('Savings Inputs'!$B$10)+A280+1,0))</f>
        <v>54666</v>
      </c>
      <c r="C280" s="17">
        <f t="shared" si="9"/>
        <v>869000</v>
      </c>
      <c r="D280" s="17">
        <f>IF(A280="","",'Savings Inputs'!$B$8)</f>
        <v>3000</v>
      </c>
      <c r="E280" s="17">
        <f>IF(A280="","",IF(A280='Savings Inputs'!$B$16,'Savings Inputs'!$B$9,0))</f>
        <v>0</v>
      </c>
      <c r="F280" s="17">
        <f t="shared" si="8"/>
        <v>872000</v>
      </c>
      <c r="G280" s="18">
        <f>IF(A280="","",F280/Dashboard!$B$7)</f>
        <v>5.8133333333333335</v>
      </c>
      <c r="H280" s="15">
        <f>IF(A280="","",IF(F280&gt;=Dashboard!$B$7,1,0))</f>
        <v>1</v>
      </c>
    </row>
    <row r="281" spans="1:8" ht="21" customHeight="1">
      <c r="A281" s="15">
        <f>IF('Savings Inputs'!$B$14,275,"")</f>
        <v>275</v>
      </c>
      <c r="B281" s="16">
        <f>IF(A281="","",DATE(YEAR('Savings Inputs'!$B$10),MONTH('Savings Inputs'!$B$10)+A281+1,0))</f>
        <v>54696</v>
      </c>
      <c r="C281" s="17">
        <f t="shared" si="9"/>
        <v>872000</v>
      </c>
      <c r="D281" s="17">
        <f>IF(A281="","",'Savings Inputs'!$B$8)</f>
        <v>3000</v>
      </c>
      <c r="E281" s="17">
        <f>IF(A281="","",IF(A281='Savings Inputs'!$B$16,'Savings Inputs'!$B$9,0))</f>
        <v>0</v>
      </c>
      <c r="F281" s="17">
        <f t="shared" si="8"/>
        <v>875000</v>
      </c>
      <c r="G281" s="18">
        <f>IF(A281="","",F281/Dashboard!$B$7)</f>
        <v>5.833333333333333</v>
      </c>
      <c r="H281" s="15">
        <f>IF(A281="","",IF(F281&gt;=Dashboard!$B$7,1,0))</f>
        <v>1</v>
      </c>
    </row>
    <row r="282" spans="1:8" ht="21" customHeight="1">
      <c r="A282" s="15">
        <f>IF('Savings Inputs'!$B$14,276,"")</f>
        <v>276</v>
      </c>
      <c r="B282" s="16">
        <f>IF(A282="","",DATE(YEAR('Savings Inputs'!$B$10),MONTH('Savings Inputs'!$B$10)+A282+1,0))</f>
        <v>54727</v>
      </c>
      <c r="C282" s="17">
        <f t="shared" si="9"/>
        <v>875000</v>
      </c>
      <c r="D282" s="17">
        <f>IF(A282="","",'Savings Inputs'!$B$8)</f>
        <v>3000</v>
      </c>
      <c r="E282" s="17">
        <f>IF(A282="","",IF(A282='Savings Inputs'!$B$16,'Savings Inputs'!$B$9,0))</f>
        <v>0</v>
      </c>
      <c r="F282" s="17">
        <f t="shared" si="8"/>
        <v>878000</v>
      </c>
      <c r="G282" s="18">
        <f>IF(A282="","",F282/Dashboard!$B$7)</f>
        <v>5.8533333333333335</v>
      </c>
      <c r="H282" s="15">
        <f>IF(A282="","",IF(F282&gt;=Dashboard!$B$7,1,0))</f>
        <v>1</v>
      </c>
    </row>
    <row r="283" spans="1:8" ht="21" customHeight="1">
      <c r="A283" s="15">
        <f>IF('Savings Inputs'!$B$14,277,"")</f>
        <v>277</v>
      </c>
      <c r="B283" s="16">
        <f>IF(A283="","",DATE(YEAR('Savings Inputs'!$B$10),MONTH('Savings Inputs'!$B$10)+A283+1,0))</f>
        <v>54757</v>
      </c>
      <c r="C283" s="17">
        <f t="shared" si="9"/>
        <v>878000</v>
      </c>
      <c r="D283" s="17">
        <f>IF(A283="","",'Savings Inputs'!$B$8)</f>
        <v>3000</v>
      </c>
      <c r="E283" s="17">
        <f>IF(A283="","",IF(A283='Savings Inputs'!$B$16,'Savings Inputs'!$B$9,0))</f>
        <v>0</v>
      </c>
      <c r="F283" s="17">
        <f t="shared" si="8"/>
        <v>881000</v>
      </c>
      <c r="G283" s="18">
        <f>IF(A283="","",F283/Dashboard!$B$7)</f>
        <v>5.8733333333333331</v>
      </c>
      <c r="H283" s="15">
        <f>IF(A283="","",IF(F283&gt;=Dashboard!$B$7,1,0))</f>
        <v>1</v>
      </c>
    </row>
    <row r="284" spans="1:8" ht="21" customHeight="1">
      <c r="A284" s="15">
        <f>IF('Savings Inputs'!$B$14,278,"")</f>
        <v>278</v>
      </c>
      <c r="B284" s="16">
        <f>IF(A284="","",DATE(YEAR('Savings Inputs'!$B$10),MONTH('Savings Inputs'!$B$10)+A284+1,0))</f>
        <v>54788</v>
      </c>
      <c r="C284" s="17">
        <f t="shared" si="9"/>
        <v>881000</v>
      </c>
      <c r="D284" s="17">
        <f>IF(A284="","",'Savings Inputs'!$B$8)</f>
        <v>3000</v>
      </c>
      <c r="E284" s="17">
        <f>IF(A284="","",IF(A284='Savings Inputs'!$B$16,'Savings Inputs'!$B$9,0))</f>
        <v>0</v>
      </c>
      <c r="F284" s="17">
        <f t="shared" si="8"/>
        <v>884000</v>
      </c>
      <c r="G284" s="18">
        <f>IF(A284="","",F284/Dashboard!$B$7)</f>
        <v>5.8933333333333335</v>
      </c>
      <c r="H284" s="15">
        <f>IF(A284="","",IF(F284&gt;=Dashboard!$B$7,1,0))</f>
        <v>1</v>
      </c>
    </row>
    <row r="285" spans="1:8" ht="21" customHeight="1">
      <c r="A285" s="15">
        <f>IF('Savings Inputs'!$B$14,279,"")</f>
        <v>279</v>
      </c>
      <c r="B285" s="16">
        <f>IF(A285="","",DATE(YEAR('Savings Inputs'!$B$10),MONTH('Savings Inputs'!$B$10)+A285+1,0))</f>
        <v>54819</v>
      </c>
      <c r="C285" s="17">
        <f t="shared" si="9"/>
        <v>884000</v>
      </c>
      <c r="D285" s="17">
        <f>IF(A285="","",'Savings Inputs'!$B$8)</f>
        <v>3000</v>
      </c>
      <c r="E285" s="17">
        <f>IF(A285="","",IF(A285='Savings Inputs'!$B$16,'Savings Inputs'!$B$9,0))</f>
        <v>0</v>
      </c>
      <c r="F285" s="17">
        <f t="shared" si="8"/>
        <v>887000</v>
      </c>
      <c r="G285" s="18">
        <f>IF(A285="","",F285/Dashboard!$B$7)</f>
        <v>5.9133333333333331</v>
      </c>
      <c r="H285" s="15">
        <f>IF(A285="","",IF(F285&gt;=Dashboard!$B$7,1,0))</f>
        <v>1</v>
      </c>
    </row>
    <row r="286" spans="1:8" ht="21" customHeight="1">
      <c r="A286" s="15">
        <f>IF('Savings Inputs'!$B$14,280,"")</f>
        <v>280</v>
      </c>
      <c r="B286" s="16">
        <f>IF(A286="","",DATE(YEAR('Savings Inputs'!$B$10),MONTH('Savings Inputs'!$B$10)+A286+1,0))</f>
        <v>54847</v>
      </c>
      <c r="C286" s="17">
        <f t="shared" si="9"/>
        <v>887000</v>
      </c>
      <c r="D286" s="17">
        <f>IF(A286="","",'Savings Inputs'!$B$8)</f>
        <v>3000</v>
      </c>
      <c r="E286" s="17">
        <f>IF(A286="","",IF(A286='Savings Inputs'!$B$16,'Savings Inputs'!$B$9,0))</f>
        <v>0</v>
      </c>
      <c r="F286" s="17">
        <f t="shared" si="8"/>
        <v>890000</v>
      </c>
      <c r="G286" s="18">
        <f>IF(A286="","",F286/Dashboard!$B$7)</f>
        <v>5.9333333333333336</v>
      </c>
      <c r="H286" s="15">
        <f>IF(A286="","",IF(F286&gt;=Dashboard!$B$7,1,0))</f>
        <v>1</v>
      </c>
    </row>
    <row r="287" spans="1:8" ht="21" customHeight="1">
      <c r="A287" s="15">
        <f>IF('Savings Inputs'!$B$14,281,"")</f>
        <v>281</v>
      </c>
      <c r="B287" s="16">
        <f>IF(A287="","",DATE(YEAR('Savings Inputs'!$B$10),MONTH('Savings Inputs'!$B$10)+A287+1,0))</f>
        <v>54878</v>
      </c>
      <c r="C287" s="17">
        <f t="shared" si="9"/>
        <v>890000</v>
      </c>
      <c r="D287" s="17">
        <f>IF(A287="","",'Savings Inputs'!$B$8)</f>
        <v>3000</v>
      </c>
      <c r="E287" s="17">
        <f>IF(A287="","",IF(A287='Savings Inputs'!$B$16,'Savings Inputs'!$B$9,0))</f>
        <v>0</v>
      </c>
      <c r="F287" s="17">
        <f t="shared" si="8"/>
        <v>893000</v>
      </c>
      <c r="G287" s="18">
        <f>IF(A287="","",F287/Dashboard!$B$7)</f>
        <v>5.9533333333333331</v>
      </c>
      <c r="H287" s="15">
        <f>IF(A287="","",IF(F287&gt;=Dashboard!$B$7,1,0))</f>
        <v>1</v>
      </c>
    </row>
    <row r="288" spans="1:8" ht="21" customHeight="1">
      <c r="A288" s="15">
        <f>IF('Savings Inputs'!$B$14,282,"")</f>
        <v>282</v>
      </c>
      <c r="B288" s="16">
        <f>IF(A288="","",DATE(YEAR('Savings Inputs'!$B$10),MONTH('Savings Inputs'!$B$10)+A288+1,0))</f>
        <v>54908</v>
      </c>
      <c r="C288" s="17">
        <f t="shared" si="9"/>
        <v>893000</v>
      </c>
      <c r="D288" s="17">
        <f>IF(A288="","",'Savings Inputs'!$B$8)</f>
        <v>3000</v>
      </c>
      <c r="E288" s="17">
        <f>IF(A288="","",IF(A288='Savings Inputs'!$B$16,'Savings Inputs'!$B$9,0))</f>
        <v>0</v>
      </c>
      <c r="F288" s="17">
        <f t="shared" si="8"/>
        <v>896000</v>
      </c>
      <c r="G288" s="18">
        <f>IF(A288="","",F288/Dashboard!$B$7)</f>
        <v>5.9733333333333336</v>
      </c>
      <c r="H288" s="15">
        <f>IF(A288="","",IF(F288&gt;=Dashboard!$B$7,1,0))</f>
        <v>1</v>
      </c>
    </row>
    <row r="289" spans="1:8" ht="21" customHeight="1">
      <c r="A289" s="15">
        <f>IF('Savings Inputs'!$B$14,283,"")</f>
        <v>283</v>
      </c>
      <c r="B289" s="16">
        <f>IF(A289="","",DATE(YEAR('Savings Inputs'!$B$10),MONTH('Savings Inputs'!$B$10)+A289+1,0))</f>
        <v>54939</v>
      </c>
      <c r="C289" s="17">
        <f t="shared" si="9"/>
        <v>896000</v>
      </c>
      <c r="D289" s="17">
        <f>IF(A289="","",'Savings Inputs'!$B$8)</f>
        <v>3000</v>
      </c>
      <c r="E289" s="17">
        <f>IF(A289="","",IF(A289='Savings Inputs'!$B$16,'Savings Inputs'!$B$9,0))</f>
        <v>0</v>
      </c>
      <c r="F289" s="17">
        <f t="shared" si="8"/>
        <v>899000</v>
      </c>
      <c r="G289" s="18">
        <f>IF(A289="","",F289/Dashboard!$B$7)</f>
        <v>5.9933333333333332</v>
      </c>
      <c r="H289" s="15">
        <f>IF(A289="","",IF(F289&gt;=Dashboard!$B$7,1,0))</f>
        <v>1</v>
      </c>
    </row>
    <row r="290" spans="1:8" ht="21" customHeight="1">
      <c r="A290" s="15">
        <f>IF('Savings Inputs'!$B$14,284,"")</f>
        <v>284</v>
      </c>
      <c r="B290" s="16">
        <f>IF(A290="","",DATE(YEAR('Savings Inputs'!$B$10),MONTH('Savings Inputs'!$B$10)+A290+1,0))</f>
        <v>54969</v>
      </c>
      <c r="C290" s="17">
        <f t="shared" si="9"/>
        <v>899000</v>
      </c>
      <c r="D290" s="17">
        <f>IF(A290="","",'Savings Inputs'!$B$8)</f>
        <v>3000</v>
      </c>
      <c r="E290" s="17">
        <f>IF(A290="","",IF(A290='Savings Inputs'!$B$16,'Savings Inputs'!$B$9,0))</f>
        <v>0</v>
      </c>
      <c r="F290" s="17">
        <f t="shared" si="8"/>
        <v>902000</v>
      </c>
      <c r="G290" s="18">
        <f>IF(A290="","",F290/Dashboard!$B$7)</f>
        <v>6.0133333333333336</v>
      </c>
      <c r="H290" s="15">
        <f>IF(A290="","",IF(F290&gt;=Dashboard!$B$7,1,0))</f>
        <v>1</v>
      </c>
    </row>
    <row r="291" spans="1:8" ht="21" customHeight="1">
      <c r="A291" s="15">
        <f>IF('Savings Inputs'!$B$14,285,"")</f>
        <v>285</v>
      </c>
      <c r="B291" s="16">
        <f>IF(A291="","",DATE(YEAR('Savings Inputs'!$B$10),MONTH('Savings Inputs'!$B$10)+A291+1,0))</f>
        <v>55000</v>
      </c>
      <c r="C291" s="17">
        <f t="shared" si="9"/>
        <v>902000</v>
      </c>
      <c r="D291" s="17">
        <f>IF(A291="","",'Savings Inputs'!$B$8)</f>
        <v>3000</v>
      </c>
      <c r="E291" s="17">
        <f>IF(A291="","",IF(A291='Savings Inputs'!$B$16,'Savings Inputs'!$B$9,0))</f>
        <v>0</v>
      </c>
      <c r="F291" s="17">
        <f t="shared" si="8"/>
        <v>905000</v>
      </c>
      <c r="G291" s="18">
        <f>IF(A291="","",F291/Dashboard!$B$7)</f>
        <v>6.0333333333333332</v>
      </c>
      <c r="H291" s="15">
        <f>IF(A291="","",IF(F291&gt;=Dashboard!$B$7,1,0))</f>
        <v>1</v>
      </c>
    </row>
    <row r="292" spans="1:8" ht="21" customHeight="1">
      <c r="A292" s="15">
        <f>IF('Savings Inputs'!$B$14,286,"")</f>
        <v>286</v>
      </c>
      <c r="B292" s="16">
        <f>IF(A292="","",DATE(YEAR('Savings Inputs'!$B$10),MONTH('Savings Inputs'!$B$10)+A292+1,0))</f>
        <v>55031</v>
      </c>
      <c r="C292" s="17">
        <f t="shared" si="9"/>
        <v>905000</v>
      </c>
      <c r="D292" s="17">
        <f>IF(A292="","",'Savings Inputs'!$B$8)</f>
        <v>3000</v>
      </c>
      <c r="E292" s="17">
        <f>IF(A292="","",IF(A292='Savings Inputs'!$B$16,'Savings Inputs'!$B$9,0))</f>
        <v>0</v>
      </c>
      <c r="F292" s="17">
        <f t="shared" si="8"/>
        <v>908000</v>
      </c>
      <c r="G292" s="18">
        <f>IF(A292="","",F292/Dashboard!$B$7)</f>
        <v>6.0533333333333337</v>
      </c>
      <c r="H292" s="15">
        <f>IF(A292="","",IF(F292&gt;=Dashboard!$B$7,1,0))</f>
        <v>1</v>
      </c>
    </row>
    <row r="293" spans="1:8" ht="21" customHeight="1">
      <c r="A293" s="15">
        <f>IF('Savings Inputs'!$B$14,287,"")</f>
        <v>287</v>
      </c>
      <c r="B293" s="16">
        <f>IF(A293="","",DATE(YEAR('Savings Inputs'!$B$10),MONTH('Savings Inputs'!$B$10)+A293+1,0))</f>
        <v>55061</v>
      </c>
      <c r="C293" s="17">
        <f t="shared" si="9"/>
        <v>908000</v>
      </c>
      <c r="D293" s="17">
        <f>IF(A293="","",'Savings Inputs'!$B$8)</f>
        <v>3000</v>
      </c>
      <c r="E293" s="17">
        <f>IF(A293="","",IF(A293='Savings Inputs'!$B$16,'Savings Inputs'!$B$9,0))</f>
        <v>0</v>
      </c>
      <c r="F293" s="17">
        <f t="shared" si="8"/>
        <v>911000</v>
      </c>
      <c r="G293" s="18">
        <f>IF(A293="","",F293/Dashboard!$B$7)</f>
        <v>6.0733333333333333</v>
      </c>
      <c r="H293" s="15">
        <f>IF(A293="","",IF(F293&gt;=Dashboard!$B$7,1,0))</f>
        <v>1</v>
      </c>
    </row>
    <row r="294" spans="1:8" ht="21" customHeight="1">
      <c r="A294" s="15">
        <f>IF('Savings Inputs'!$B$14,288,"")</f>
        <v>288</v>
      </c>
      <c r="B294" s="16">
        <f>IF(A294="","",DATE(YEAR('Savings Inputs'!$B$10),MONTH('Savings Inputs'!$B$10)+A294+1,0))</f>
        <v>55092</v>
      </c>
      <c r="C294" s="17">
        <f t="shared" si="9"/>
        <v>911000</v>
      </c>
      <c r="D294" s="17">
        <f>IF(A294="","",'Savings Inputs'!$B$8)</f>
        <v>3000</v>
      </c>
      <c r="E294" s="17">
        <f>IF(A294="","",IF(A294='Savings Inputs'!$B$16,'Savings Inputs'!$B$9,0))</f>
        <v>0</v>
      </c>
      <c r="F294" s="17">
        <f t="shared" si="8"/>
        <v>914000</v>
      </c>
      <c r="G294" s="18">
        <f>IF(A294="","",F294/Dashboard!$B$7)</f>
        <v>6.0933333333333337</v>
      </c>
      <c r="H294" s="15">
        <f>IF(A294="","",IF(F294&gt;=Dashboard!$B$7,1,0))</f>
        <v>1</v>
      </c>
    </row>
    <row r="295" spans="1:8" ht="21" customHeight="1">
      <c r="A295" s="15">
        <f>IF('Savings Inputs'!$B$14,289,"")</f>
        <v>289</v>
      </c>
      <c r="B295" s="16">
        <f>IF(A295="","",DATE(YEAR('Savings Inputs'!$B$10),MONTH('Savings Inputs'!$B$10)+A295+1,0))</f>
        <v>55122</v>
      </c>
      <c r="C295" s="17">
        <f t="shared" si="9"/>
        <v>914000</v>
      </c>
      <c r="D295" s="17">
        <f>IF(A295="","",'Savings Inputs'!$B$8)</f>
        <v>3000</v>
      </c>
      <c r="E295" s="17">
        <f>IF(A295="","",IF(A295='Savings Inputs'!$B$16,'Savings Inputs'!$B$9,0))</f>
        <v>0</v>
      </c>
      <c r="F295" s="17">
        <f t="shared" si="8"/>
        <v>917000</v>
      </c>
      <c r="G295" s="18">
        <f>IF(A295="","",F295/Dashboard!$B$7)</f>
        <v>6.1133333333333333</v>
      </c>
      <c r="H295" s="15">
        <f>IF(A295="","",IF(F295&gt;=Dashboard!$B$7,1,0))</f>
        <v>1</v>
      </c>
    </row>
    <row r="296" spans="1:8" ht="21" customHeight="1">
      <c r="A296" s="15">
        <f>IF('Savings Inputs'!$B$14,290,"")</f>
        <v>290</v>
      </c>
      <c r="B296" s="16">
        <f>IF(A296="","",DATE(YEAR('Savings Inputs'!$B$10),MONTH('Savings Inputs'!$B$10)+A296+1,0))</f>
        <v>55153</v>
      </c>
      <c r="C296" s="17">
        <f t="shared" si="9"/>
        <v>917000</v>
      </c>
      <c r="D296" s="17">
        <f>IF(A296="","",'Savings Inputs'!$B$8)</f>
        <v>3000</v>
      </c>
      <c r="E296" s="17">
        <f>IF(A296="","",IF(A296='Savings Inputs'!$B$16,'Savings Inputs'!$B$9,0))</f>
        <v>0</v>
      </c>
      <c r="F296" s="17">
        <f t="shared" si="8"/>
        <v>920000</v>
      </c>
      <c r="G296" s="18">
        <f>IF(A296="","",F296/Dashboard!$B$7)</f>
        <v>6.1333333333333337</v>
      </c>
      <c r="H296" s="15">
        <f>IF(A296="","",IF(F296&gt;=Dashboard!$B$7,1,0))</f>
        <v>1</v>
      </c>
    </row>
    <row r="297" spans="1:8" ht="21" customHeight="1">
      <c r="A297" s="15">
        <f>IF('Savings Inputs'!$B$14,291,"")</f>
        <v>291</v>
      </c>
      <c r="B297" s="16">
        <f>IF(A297="","",DATE(YEAR('Savings Inputs'!$B$10),MONTH('Savings Inputs'!$B$10)+A297+1,0))</f>
        <v>55184</v>
      </c>
      <c r="C297" s="17">
        <f t="shared" si="9"/>
        <v>920000</v>
      </c>
      <c r="D297" s="17">
        <f>IF(A297="","",'Savings Inputs'!$B$8)</f>
        <v>3000</v>
      </c>
      <c r="E297" s="17">
        <f>IF(A297="","",IF(A297='Savings Inputs'!$B$16,'Savings Inputs'!$B$9,0))</f>
        <v>0</v>
      </c>
      <c r="F297" s="17">
        <f t="shared" si="8"/>
        <v>923000</v>
      </c>
      <c r="G297" s="18">
        <f>IF(A297="","",F297/Dashboard!$B$7)</f>
        <v>6.1533333333333333</v>
      </c>
      <c r="H297" s="15">
        <f>IF(A297="","",IF(F297&gt;=Dashboard!$B$7,1,0))</f>
        <v>1</v>
      </c>
    </row>
    <row r="298" spans="1:8" ht="21" customHeight="1">
      <c r="A298" s="15">
        <f>IF('Savings Inputs'!$B$14,292,"")</f>
        <v>292</v>
      </c>
      <c r="B298" s="16">
        <f>IF(A298="","",DATE(YEAR('Savings Inputs'!$B$10),MONTH('Savings Inputs'!$B$10)+A298+1,0))</f>
        <v>55212</v>
      </c>
      <c r="C298" s="17">
        <f t="shared" si="9"/>
        <v>923000</v>
      </c>
      <c r="D298" s="17">
        <f>IF(A298="","",'Savings Inputs'!$B$8)</f>
        <v>3000</v>
      </c>
      <c r="E298" s="17">
        <f>IF(A298="","",IF(A298='Savings Inputs'!$B$16,'Savings Inputs'!$B$9,0))</f>
        <v>0</v>
      </c>
      <c r="F298" s="17">
        <f t="shared" si="8"/>
        <v>926000</v>
      </c>
      <c r="G298" s="18">
        <f>IF(A298="","",F298/Dashboard!$B$7)</f>
        <v>6.1733333333333329</v>
      </c>
      <c r="H298" s="15">
        <f>IF(A298="","",IF(F298&gt;=Dashboard!$B$7,1,0))</f>
        <v>1</v>
      </c>
    </row>
    <row r="299" spans="1:8" ht="21" customHeight="1">
      <c r="A299" s="15">
        <f>IF('Savings Inputs'!$B$14,293,"")</f>
        <v>293</v>
      </c>
      <c r="B299" s="16">
        <f>IF(A299="","",DATE(YEAR('Savings Inputs'!$B$10),MONTH('Savings Inputs'!$B$10)+A299+1,0))</f>
        <v>55243</v>
      </c>
      <c r="C299" s="17">
        <f t="shared" si="9"/>
        <v>926000</v>
      </c>
      <c r="D299" s="17">
        <f>IF(A299="","",'Savings Inputs'!$B$8)</f>
        <v>3000</v>
      </c>
      <c r="E299" s="17">
        <f>IF(A299="","",IF(A299='Savings Inputs'!$B$16,'Savings Inputs'!$B$9,0))</f>
        <v>0</v>
      </c>
      <c r="F299" s="17">
        <f t="shared" si="8"/>
        <v>929000</v>
      </c>
      <c r="G299" s="18">
        <f>IF(A299="","",F299/Dashboard!$B$7)</f>
        <v>6.1933333333333334</v>
      </c>
      <c r="H299" s="15">
        <f>IF(A299="","",IF(F299&gt;=Dashboard!$B$7,1,0))</f>
        <v>1</v>
      </c>
    </row>
    <row r="300" spans="1:8" ht="21" customHeight="1">
      <c r="A300" s="15">
        <f>IF('Savings Inputs'!$B$14,294,"")</f>
        <v>294</v>
      </c>
      <c r="B300" s="16">
        <f>IF(A300="","",DATE(YEAR('Savings Inputs'!$B$10),MONTH('Savings Inputs'!$B$10)+A300+1,0))</f>
        <v>55273</v>
      </c>
      <c r="C300" s="17">
        <f t="shared" si="9"/>
        <v>929000</v>
      </c>
      <c r="D300" s="17">
        <f>IF(A300="","",'Savings Inputs'!$B$8)</f>
        <v>3000</v>
      </c>
      <c r="E300" s="17">
        <f>IF(A300="","",IF(A300='Savings Inputs'!$B$16,'Savings Inputs'!$B$9,0))</f>
        <v>0</v>
      </c>
      <c r="F300" s="17">
        <f t="shared" si="8"/>
        <v>932000</v>
      </c>
      <c r="G300" s="18">
        <f>IF(A300="","",F300/Dashboard!$B$7)</f>
        <v>6.2133333333333329</v>
      </c>
      <c r="H300" s="15">
        <f>IF(A300="","",IF(F300&gt;=Dashboard!$B$7,1,0))</f>
        <v>1</v>
      </c>
    </row>
    <row r="301" spans="1:8" ht="21" customHeight="1">
      <c r="A301" s="15">
        <f>IF('Savings Inputs'!$B$14,295,"")</f>
        <v>295</v>
      </c>
      <c r="B301" s="16">
        <f>IF(A301="","",DATE(YEAR('Savings Inputs'!$B$10),MONTH('Savings Inputs'!$B$10)+A301+1,0))</f>
        <v>55304</v>
      </c>
      <c r="C301" s="17">
        <f t="shared" si="9"/>
        <v>932000</v>
      </c>
      <c r="D301" s="17">
        <f>IF(A301="","",'Savings Inputs'!$B$8)</f>
        <v>3000</v>
      </c>
      <c r="E301" s="17">
        <f>IF(A301="","",IF(A301='Savings Inputs'!$B$16,'Savings Inputs'!$B$9,0))</f>
        <v>0</v>
      </c>
      <c r="F301" s="17">
        <f t="shared" si="8"/>
        <v>935000</v>
      </c>
      <c r="G301" s="18">
        <f>IF(A301="","",F301/Dashboard!$B$7)</f>
        <v>6.2333333333333334</v>
      </c>
      <c r="H301" s="15">
        <f>IF(A301="","",IF(F301&gt;=Dashboard!$B$7,1,0))</f>
        <v>1</v>
      </c>
    </row>
    <row r="302" spans="1:8" ht="21" customHeight="1">
      <c r="A302" s="15">
        <f>IF('Savings Inputs'!$B$14,296,"")</f>
        <v>296</v>
      </c>
      <c r="B302" s="16">
        <f>IF(A302="","",DATE(YEAR('Savings Inputs'!$B$10),MONTH('Savings Inputs'!$B$10)+A302+1,0))</f>
        <v>55334</v>
      </c>
      <c r="C302" s="17">
        <f t="shared" si="9"/>
        <v>935000</v>
      </c>
      <c r="D302" s="17">
        <f>IF(A302="","",'Savings Inputs'!$B$8)</f>
        <v>3000</v>
      </c>
      <c r="E302" s="17">
        <f>IF(A302="","",IF(A302='Savings Inputs'!$B$16,'Savings Inputs'!$B$9,0))</f>
        <v>0</v>
      </c>
      <c r="F302" s="17">
        <f t="shared" si="8"/>
        <v>938000</v>
      </c>
      <c r="G302" s="18">
        <f>IF(A302="","",F302/Dashboard!$B$7)</f>
        <v>6.253333333333333</v>
      </c>
      <c r="H302" s="15">
        <f>IF(A302="","",IF(F302&gt;=Dashboard!$B$7,1,0))</f>
        <v>1</v>
      </c>
    </row>
    <row r="303" spans="1:8" ht="21" customHeight="1">
      <c r="A303" s="15">
        <f>IF('Savings Inputs'!$B$14,297,"")</f>
        <v>297</v>
      </c>
      <c r="B303" s="16">
        <f>IF(A303="","",DATE(YEAR('Savings Inputs'!$B$10),MONTH('Savings Inputs'!$B$10)+A303+1,0))</f>
        <v>55365</v>
      </c>
      <c r="C303" s="17">
        <f t="shared" si="9"/>
        <v>938000</v>
      </c>
      <c r="D303" s="17">
        <f>IF(A303="","",'Savings Inputs'!$B$8)</f>
        <v>3000</v>
      </c>
      <c r="E303" s="17">
        <f>IF(A303="","",IF(A303='Savings Inputs'!$B$16,'Savings Inputs'!$B$9,0))</f>
        <v>0</v>
      </c>
      <c r="F303" s="17">
        <f t="shared" si="8"/>
        <v>941000</v>
      </c>
      <c r="G303" s="18">
        <f>IF(A303="","",F303/Dashboard!$B$7)</f>
        <v>6.2733333333333334</v>
      </c>
      <c r="H303" s="15">
        <f>IF(A303="","",IF(F303&gt;=Dashboard!$B$7,1,0))</f>
        <v>1</v>
      </c>
    </row>
    <row r="304" spans="1:8" ht="21" customHeight="1">
      <c r="A304" s="15">
        <f>IF('Savings Inputs'!$B$14,298,"")</f>
        <v>298</v>
      </c>
      <c r="B304" s="16">
        <f>IF(A304="","",DATE(YEAR('Savings Inputs'!$B$10),MONTH('Savings Inputs'!$B$10)+A304+1,0))</f>
        <v>55396</v>
      </c>
      <c r="C304" s="17">
        <f t="shared" si="9"/>
        <v>941000</v>
      </c>
      <c r="D304" s="17">
        <f>IF(A304="","",'Savings Inputs'!$B$8)</f>
        <v>3000</v>
      </c>
      <c r="E304" s="17">
        <f>IF(A304="","",IF(A304='Savings Inputs'!$B$16,'Savings Inputs'!$B$9,0))</f>
        <v>0</v>
      </c>
      <c r="F304" s="17">
        <f t="shared" si="8"/>
        <v>944000</v>
      </c>
      <c r="G304" s="18">
        <f>IF(A304="","",F304/Dashboard!$B$7)</f>
        <v>6.293333333333333</v>
      </c>
      <c r="H304" s="15">
        <f>IF(A304="","",IF(F304&gt;=Dashboard!$B$7,1,0))</f>
        <v>1</v>
      </c>
    </row>
    <row r="305" spans="1:8" ht="21" customHeight="1">
      <c r="A305" s="15">
        <f>IF('Savings Inputs'!$B$14,299,"")</f>
        <v>299</v>
      </c>
      <c r="B305" s="16">
        <f>IF(A305="","",DATE(YEAR('Savings Inputs'!$B$10),MONTH('Savings Inputs'!$B$10)+A305+1,0))</f>
        <v>55426</v>
      </c>
      <c r="C305" s="17">
        <f t="shared" si="9"/>
        <v>944000</v>
      </c>
      <c r="D305" s="17">
        <f>IF(A305="","",'Savings Inputs'!$B$8)</f>
        <v>3000</v>
      </c>
      <c r="E305" s="17">
        <f>IF(A305="","",IF(A305='Savings Inputs'!$B$16,'Savings Inputs'!$B$9,0))</f>
        <v>0</v>
      </c>
      <c r="F305" s="17">
        <f t="shared" si="8"/>
        <v>947000</v>
      </c>
      <c r="G305" s="18">
        <f>IF(A305="","",F305/Dashboard!$B$7)</f>
        <v>6.3133333333333335</v>
      </c>
      <c r="H305" s="15">
        <f>IF(A305="","",IF(F305&gt;=Dashboard!$B$7,1,0))</f>
        <v>1</v>
      </c>
    </row>
    <row r="306" spans="1:8" ht="21" customHeight="1">
      <c r="A306" s="15">
        <f>IF('Savings Inputs'!$B$14,300,"")</f>
        <v>300</v>
      </c>
      <c r="B306" s="16">
        <f>IF(A306="","",DATE(YEAR('Savings Inputs'!$B$10),MONTH('Savings Inputs'!$B$10)+A306+1,0))</f>
        <v>55457</v>
      </c>
      <c r="C306" s="17">
        <f t="shared" si="9"/>
        <v>947000</v>
      </c>
      <c r="D306" s="17">
        <f>IF(A306="","",'Savings Inputs'!$B$8)</f>
        <v>3000</v>
      </c>
      <c r="E306" s="17">
        <f>IF(A306="","",IF(A306='Savings Inputs'!$B$16,'Savings Inputs'!$B$9,0))</f>
        <v>0</v>
      </c>
      <c r="F306" s="17">
        <f t="shared" si="8"/>
        <v>950000</v>
      </c>
      <c r="G306" s="18">
        <f>IF(A306="","",F306/Dashboard!$B$7)</f>
        <v>6.333333333333333</v>
      </c>
      <c r="H306" s="15">
        <f>IF(A306="","",IF(F306&gt;=Dashboard!$B$7,1,0))</f>
        <v>1</v>
      </c>
    </row>
    <row r="307" spans="1:8" ht="21" customHeight="1">
      <c r="A307" s="15">
        <f>IF('Savings Inputs'!$B$14,301,"")</f>
        <v>301</v>
      </c>
      <c r="B307" s="16">
        <f>IF(A307="","",DATE(YEAR('Savings Inputs'!$B$10),MONTH('Savings Inputs'!$B$10)+A307+1,0))</f>
        <v>55487</v>
      </c>
      <c r="C307" s="17">
        <f t="shared" si="9"/>
        <v>950000</v>
      </c>
      <c r="D307" s="17">
        <f>IF(A307="","",'Savings Inputs'!$B$8)</f>
        <v>3000</v>
      </c>
      <c r="E307" s="17">
        <f>IF(A307="","",IF(A307='Savings Inputs'!$B$16,'Savings Inputs'!$B$9,0))</f>
        <v>0</v>
      </c>
      <c r="F307" s="17">
        <f t="shared" si="8"/>
        <v>953000</v>
      </c>
      <c r="G307" s="18">
        <f>IF(A307="","",F307/Dashboard!$B$7)</f>
        <v>6.3533333333333335</v>
      </c>
      <c r="H307" s="15">
        <f>IF(A307="","",IF(F307&gt;=Dashboard!$B$7,1,0))</f>
        <v>1</v>
      </c>
    </row>
    <row r="308" spans="1:8" ht="21" customHeight="1">
      <c r="A308" s="15">
        <f>IF('Savings Inputs'!$B$14,302,"")</f>
        <v>302</v>
      </c>
      <c r="B308" s="16">
        <f>IF(A308="","",DATE(YEAR('Savings Inputs'!$B$10),MONTH('Savings Inputs'!$B$10)+A308+1,0))</f>
        <v>55518</v>
      </c>
      <c r="C308" s="17">
        <f t="shared" si="9"/>
        <v>953000</v>
      </c>
      <c r="D308" s="17">
        <f>IF(A308="","",'Savings Inputs'!$B$8)</f>
        <v>3000</v>
      </c>
      <c r="E308" s="17">
        <f>IF(A308="","",IF(A308='Savings Inputs'!$B$16,'Savings Inputs'!$B$9,0))</f>
        <v>0</v>
      </c>
      <c r="F308" s="17">
        <f t="shared" si="8"/>
        <v>956000</v>
      </c>
      <c r="G308" s="18">
        <f>IF(A308="","",F308/Dashboard!$B$7)</f>
        <v>6.3733333333333331</v>
      </c>
      <c r="H308" s="15">
        <f>IF(A308="","",IF(F308&gt;=Dashboard!$B$7,1,0))</f>
        <v>1</v>
      </c>
    </row>
    <row r="309" spans="1:8" ht="21" customHeight="1">
      <c r="A309" s="15">
        <f>IF('Savings Inputs'!$B$14,303,"")</f>
        <v>303</v>
      </c>
      <c r="B309" s="16">
        <f>IF(A309="","",DATE(YEAR('Savings Inputs'!$B$10),MONTH('Savings Inputs'!$B$10)+A309+1,0))</f>
        <v>55549</v>
      </c>
      <c r="C309" s="17">
        <f t="shared" si="9"/>
        <v>956000</v>
      </c>
      <c r="D309" s="17">
        <f>IF(A309="","",'Savings Inputs'!$B$8)</f>
        <v>3000</v>
      </c>
      <c r="E309" s="17">
        <f>IF(A309="","",IF(A309='Savings Inputs'!$B$16,'Savings Inputs'!$B$9,0))</f>
        <v>0</v>
      </c>
      <c r="F309" s="17">
        <f t="shared" si="8"/>
        <v>959000</v>
      </c>
      <c r="G309" s="18">
        <f>IF(A309="","",F309/Dashboard!$B$7)</f>
        <v>6.3933333333333335</v>
      </c>
      <c r="H309" s="15">
        <f>IF(A309="","",IF(F309&gt;=Dashboard!$B$7,1,0))</f>
        <v>1</v>
      </c>
    </row>
    <row r="310" spans="1:8" ht="21" customHeight="1">
      <c r="A310" s="15">
        <f>IF('Savings Inputs'!$B$14,304,"")</f>
        <v>304</v>
      </c>
      <c r="B310" s="16">
        <f>IF(A310="","",DATE(YEAR('Savings Inputs'!$B$10),MONTH('Savings Inputs'!$B$10)+A310+1,0))</f>
        <v>55578</v>
      </c>
      <c r="C310" s="17">
        <f t="shared" si="9"/>
        <v>959000</v>
      </c>
      <c r="D310" s="17">
        <f>IF(A310="","",'Savings Inputs'!$B$8)</f>
        <v>3000</v>
      </c>
      <c r="E310" s="17">
        <f>IF(A310="","",IF(A310='Savings Inputs'!$B$16,'Savings Inputs'!$B$9,0))</f>
        <v>0</v>
      </c>
      <c r="F310" s="17">
        <f t="shared" si="8"/>
        <v>962000</v>
      </c>
      <c r="G310" s="18">
        <f>IF(A310="","",F310/Dashboard!$B$7)</f>
        <v>6.4133333333333331</v>
      </c>
      <c r="H310" s="15">
        <f>IF(A310="","",IF(F310&gt;=Dashboard!$B$7,1,0))</f>
        <v>1</v>
      </c>
    </row>
    <row r="311" spans="1:8" ht="21" customHeight="1">
      <c r="A311" s="15">
        <f>IF('Savings Inputs'!$B$14,305,"")</f>
        <v>305</v>
      </c>
      <c r="B311" s="16">
        <f>IF(A311="","",DATE(YEAR('Savings Inputs'!$B$10),MONTH('Savings Inputs'!$B$10)+A311+1,0))</f>
        <v>55609</v>
      </c>
      <c r="C311" s="17">
        <f t="shared" si="9"/>
        <v>962000</v>
      </c>
      <c r="D311" s="17">
        <f>IF(A311="","",'Savings Inputs'!$B$8)</f>
        <v>3000</v>
      </c>
      <c r="E311" s="17">
        <f>IF(A311="","",IF(A311='Savings Inputs'!$B$16,'Savings Inputs'!$B$9,0))</f>
        <v>0</v>
      </c>
      <c r="F311" s="17">
        <f t="shared" si="8"/>
        <v>965000</v>
      </c>
      <c r="G311" s="18">
        <f>IF(A311="","",F311/Dashboard!$B$7)</f>
        <v>6.4333333333333336</v>
      </c>
      <c r="H311" s="15">
        <f>IF(A311="","",IF(F311&gt;=Dashboard!$B$7,1,0))</f>
        <v>1</v>
      </c>
    </row>
    <row r="312" spans="1:8" ht="21" customHeight="1">
      <c r="A312" s="15">
        <f>IF('Savings Inputs'!$B$14,306,"")</f>
        <v>306</v>
      </c>
      <c r="B312" s="16">
        <f>IF(A312="","",DATE(YEAR('Savings Inputs'!$B$10),MONTH('Savings Inputs'!$B$10)+A312+1,0))</f>
        <v>55639</v>
      </c>
      <c r="C312" s="17">
        <f t="shared" si="9"/>
        <v>965000</v>
      </c>
      <c r="D312" s="17">
        <f>IF(A312="","",'Savings Inputs'!$B$8)</f>
        <v>3000</v>
      </c>
      <c r="E312" s="17">
        <f>IF(A312="","",IF(A312='Savings Inputs'!$B$16,'Savings Inputs'!$B$9,0))</f>
        <v>0</v>
      </c>
      <c r="F312" s="17">
        <f t="shared" si="8"/>
        <v>968000</v>
      </c>
      <c r="G312" s="18">
        <f>IF(A312="","",F312/Dashboard!$B$7)</f>
        <v>6.4533333333333331</v>
      </c>
      <c r="H312" s="15">
        <f>IF(A312="","",IF(F312&gt;=Dashboard!$B$7,1,0))</f>
        <v>1</v>
      </c>
    </row>
    <row r="313" spans="1:8" ht="21" customHeight="1">
      <c r="A313" s="15">
        <f>IF('Savings Inputs'!$B$14,307,"")</f>
        <v>307</v>
      </c>
      <c r="B313" s="16">
        <f>IF(A313="","",DATE(YEAR('Savings Inputs'!$B$10),MONTH('Savings Inputs'!$B$10)+A313+1,0))</f>
        <v>55670</v>
      </c>
      <c r="C313" s="17">
        <f t="shared" si="9"/>
        <v>968000</v>
      </c>
      <c r="D313" s="17">
        <f>IF(A313="","",'Savings Inputs'!$B$8)</f>
        <v>3000</v>
      </c>
      <c r="E313" s="17">
        <f>IF(A313="","",IF(A313='Savings Inputs'!$B$16,'Savings Inputs'!$B$9,0))</f>
        <v>0</v>
      </c>
      <c r="F313" s="17">
        <f t="shared" si="8"/>
        <v>971000</v>
      </c>
      <c r="G313" s="18">
        <f>IF(A313="","",F313/Dashboard!$B$7)</f>
        <v>6.4733333333333336</v>
      </c>
      <c r="H313" s="15">
        <f>IF(A313="","",IF(F313&gt;=Dashboard!$B$7,1,0))</f>
        <v>1</v>
      </c>
    </row>
    <row r="314" spans="1:8" ht="21" customHeight="1">
      <c r="A314" s="15">
        <f>IF('Savings Inputs'!$B$14,308,"")</f>
        <v>308</v>
      </c>
      <c r="B314" s="16">
        <f>IF(A314="","",DATE(YEAR('Savings Inputs'!$B$10),MONTH('Savings Inputs'!$B$10)+A314+1,0))</f>
        <v>55700</v>
      </c>
      <c r="C314" s="17">
        <f t="shared" si="9"/>
        <v>971000</v>
      </c>
      <c r="D314" s="17">
        <f>IF(A314="","",'Savings Inputs'!$B$8)</f>
        <v>3000</v>
      </c>
      <c r="E314" s="17">
        <f>IF(A314="","",IF(A314='Savings Inputs'!$B$16,'Savings Inputs'!$B$9,0))</f>
        <v>0</v>
      </c>
      <c r="F314" s="17">
        <f t="shared" si="8"/>
        <v>974000</v>
      </c>
      <c r="G314" s="18">
        <f>IF(A314="","",F314/Dashboard!$B$7)</f>
        <v>6.4933333333333332</v>
      </c>
      <c r="H314" s="15">
        <f>IF(A314="","",IF(F314&gt;=Dashboard!$B$7,1,0))</f>
        <v>1</v>
      </c>
    </row>
    <row r="315" spans="1:8" ht="21" customHeight="1">
      <c r="A315" s="15">
        <f>IF('Savings Inputs'!$B$14,309,"")</f>
        <v>309</v>
      </c>
      <c r="B315" s="16">
        <f>IF(A315="","",DATE(YEAR('Savings Inputs'!$B$10),MONTH('Savings Inputs'!$B$10)+A315+1,0))</f>
        <v>55731</v>
      </c>
      <c r="C315" s="17">
        <f t="shared" si="9"/>
        <v>974000</v>
      </c>
      <c r="D315" s="17">
        <f>IF(A315="","",'Savings Inputs'!$B$8)</f>
        <v>3000</v>
      </c>
      <c r="E315" s="17">
        <f>IF(A315="","",IF(A315='Savings Inputs'!$B$16,'Savings Inputs'!$B$9,0))</f>
        <v>0</v>
      </c>
      <c r="F315" s="17">
        <f t="shared" si="8"/>
        <v>977000</v>
      </c>
      <c r="G315" s="18">
        <f>IF(A315="","",F315/Dashboard!$B$7)</f>
        <v>6.5133333333333336</v>
      </c>
      <c r="H315" s="15">
        <f>IF(A315="","",IF(F315&gt;=Dashboard!$B$7,1,0))</f>
        <v>1</v>
      </c>
    </row>
    <row r="316" spans="1:8" ht="21" customHeight="1">
      <c r="A316" s="15">
        <f>IF('Savings Inputs'!$B$14,310,"")</f>
        <v>310</v>
      </c>
      <c r="B316" s="16">
        <f>IF(A316="","",DATE(YEAR('Savings Inputs'!$B$10),MONTH('Savings Inputs'!$B$10)+A316+1,0))</f>
        <v>55762</v>
      </c>
      <c r="C316" s="17">
        <f t="shared" si="9"/>
        <v>977000</v>
      </c>
      <c r="D316" s="17">
        <f>IF(A316="","",'Savings Inputs'!$B$8)</f>
        <v>3000</v>
      </c>
      <c r="E316" s="17">
        <f>IF(A316="","",IF(A316='Savings Inputs'!$B$16,'Savings Inputs'!$B$9,0))</f>
        <v>0</v>
      </c>
      <c r="F316" s="17">
        <f t="shared" si="8"/>
        <v>980000</v>
      </c>
      <c r="G316" s="18">
        <f>IF(A316="","",F316/Dashboard!$B$7)</f>
        <v>6.5333333333333332</v>
      </c>
      <c r="H316" s="15">
        <f>IF(A316="","",IF(F316&gt;=Dashboard!$B$7,1,0))</f>
        <v>1</v>
      </c>
    </row>
    <row r="317" spans="1:8" ht="21" customHeight="1">
      <c r="A317" s="15">
        <f>IF('Savings Inputs'!$B$14,311,"")</f>
        <v>311</v>
      </c>
      <c r="B317" s="16">
        <f>IF(A317="","",DATE(YEAR('Savings Inputs'!$B$10),MONTH('Savings Inputs'!$B$10)+A317+1,0))</f>
        <v>55792</v>
      </c>
      <c r="C317" s="17">
        <f t="shared" si="9"/>
        <v>980000</v>
      </c>
      <c r="D317" s="17">
        <f>IF(A317="","",'Savings Inputs'!$B$8)</f>
        <v>3000</v>
      </c>
      <c r="E317" s="17">
        <f>IF(A317="","",IF(A317='Savings Inputs'!$B$16,'Savings Inputs'!$B$9,0))</f>
        <v>0</v>
      </c>
      <c r="F317" s="17">
        <f t="shared" si="8"/>
        <v>983000</v>
      </c>
      <c r="G317" s="18">
        <f>IF(A317="","",F317/Dashboard!$B$7)</f>
        <v>6.5533333333333337</v>
      </c>
      <c r="H317" s="15">
        <f>IF(A317="","",IF(F317&gt;=Dashboard!$B$7,1,0))</f>
        <v>1</v>
      </c>
    </row>
    <row r="318" spans="1:8" ht="21" customHeight="1">
      <c r="A318" s="15">
        <f>IF('Savings Inputs'!$B$14,312,"")</f>
        <v>312</v>
      </c>
      <c r="B318" s="16">
        <f>IF(A318="","",DATE(YEAR('Savings Inputs'!$B$10),MONTH('Savings Inputs'!$B$10)+A318+1,0))</f>
        <v>55823</v>
      </c>
      <c r="C318" s="17">
        <f t="shared" si="9"/>
        <v>983000</v>
      </c>
      <c r="D318" s="17">
        <f>IF(A318="","",'Savings Inputs'!$B$8)</f>
        <v>3000</v>
      </c>
      <c r="E318" s="17">
        <f>IF(A318="","",IF(A318='Savings Inputs'!$B$16,'Savings Inputs'!$B$9,0))</f>
        <v>0</v>
      </c>
      <c r="F318" s="17">
        <f t="shared" si="8"/>
        <v>986000</v>
      </c>
      <c r="G318" s="18">
        <f>IF(A318="","",F318/Dashboard!$B$7)</f>
        <v>6.5733333333333333</v>
      </c>
      <c r="H318" s="15">
        <f>IF(A318="","",IF(F318&gt;=Dashboard!$B$7,1,0))</f>
        <v>1</v>
      </c>
    </row>
    <row r="319" spans="1:8" ht="21" customHeight="1">
      <c r="A319" s="15">
        <f>IF('Savings Inputs'!$B$14,313,"")</f>
        <v>313</v>
      </c>
      <c r="B319" s="16">
        <f>IF(A319="","",DATE(YEAR('Savings Inputs'!$B$10),MONTH('Savings Inputs'!$B$10)+A319+1,0))</f>
        <v>55853</v>
      </c>
      <c r="C319" s="17">
        <f t="shared" si="9"/>
        <v>986000</v>
      </c>
      <c r="D319" s="17">
        <f>IF(A319="","",'Savings Inputs'!$B$8)</f>
        <v>3000</v>
      </c>
      <c r="E319" s="17">
        <f>IF(A319="","",IF(A319='Savings Inputs'!$B$16,'Savings Inputs'!$B$9,0))</f>
        <v>0</v>
      </c>
      <c r="F319" s="17">
        <f t="shared" si="8"/>
        <v>989000</v>
      </c>
      <c r="G319" s="18">
        <f>IF(A319="","",F319/Dashboard!$B$7)</f>
        <v>6.5933333333333337</v>
      </c>
      <c r="H319" s="15">
        <f>IF(A319="","",IF(F319&gt;=Dashboard!$B$7,1,0))</f>
        <v>1</v>
      </c>
    </row>
    <row r="320" spans="1:8" ht="21" customHeight="1">
      <c r="A320" s="15">
        <f>IF('Savings Inputs'!$B$14,314,"")</f>
        <v>314</v>
      </c>
      <c r="B320" s="16">
        <f>IF(A320="","",DATE(YEAR('Savings Inputs'!$B$10),MONTH('Savings Inputs'!$B$10)+A320+1,0))</f>
        <v>55884</v>
      </c>
      <c r="C320" s="17">
        <f t="shared" si="9"/>
        <v>989000</v>
      </c>
      <c r="D320" s="17">
        <f>IF(A320="","",'Savings Inputs'!$B$8)</f>
        <v>3000</v>
      </c>
      <c r="E320" s="17">
        <f>IF(A320="","",IF(A320='Savings Inputs'!$B$16,'Savings Inputs'!$B$9,0))</f>
        <v>0</v>
      </c>
      <c r="F320" s="17">
        <f t="shared" si="8"/>
        <v>992000</v>
      </c>
      <c r="G320" s="18">
        <f>IF(A320="","",F320/Dashboard!$B$7)</f>
        <v>6.6133333333333333</v>
      </c>
      <c r="H320" s="15">
        <f>IF(A320="","",IF(F320&gt;=Dashboard!$B$7,1,0))</f>
        <v>1</v>
      </c>
    </row>
    <row r="321" spans="1:8" ht="21" customHeight="1">
      <c r="A321" s="15">
        <f>IF('Savings Inputs'!$B$14,315,"")</f>
        <v>315</v>
      </c>
      <c r="B321" s="16">
        <f>IF(A321="","",DATE(YEAR('Savings Inputs'!$B$10),MONTH('Savings Inputs'!$B$10)+A321+1,0))</f>
        <v>55915</v>
      </c>
      <c r="C321" s="17">
        <f t="shared" si="9"/>
        <v>992000</v>
      </c>
      <c r="D321" s="17">
        <f>IF(A321="","",'Savings Inputs'!$B$8)</f>
        <v>3000</v>
      </c>
      <c r="E321" s="17">
        <f>IF(A321="","",IF(A321='Savings Inputs'!$B$16,'Savings Inputs'!$B$9,0))</f>
        <v>0</v>
      </c>
      <c r="F321" s="17">
        <f t="shared" si="8"/>
        <v>995000</v>
      </c>
      <c r="G321" s="18">
        <f>IF(A321="","",F321/Dashboard!$B$7)</f>
        <v>6.6333333333333337</v>
      </c>
      <c r="H321" s="15">
        <f>IF(A321="","",IF(F321&gt;=Dashboard!$B$7,1,0))</f>
        <v>1</v>
      </c>
    </row>
    <row r="322" spans="1:8" ht="21" customHeight="1">
      <c r="A322" s="15">
        <f>IF('Savings Inputs'!$B$14,316,"")</f>
        <v>316</v>
      </c>
      <c r="B322" s="16">
        <f>IF(A322="","",DATE(YEAR('Savings Inputs'!$B$10),MONTH('Savings Inputs'!$B$10)+A322+1,0))</f>
        <v>55943</v>
      </c>
      <c r="C322" s="17">
        <f t="shared" si="9"/>
        <v>995000</v>
      </c>
      <c r="D322" s="17">
        <f>IF(A322="","",'Savings Inputs'!$B$8)</f>
        <v>3000</v>
      </c>
      <c r="E322" s="17">
        <f>IF(A322="","",IF(A322='Savings Inputs'!$B$16,'Savings Inputs'!$B$9,0))</f>
        <v>0</v>
      </c>
      <c r="F322" s="17">
        <f t="shared" si="8"/>
        <v>998000</v>
      </c>
      <c r="G322" s="18">
        <f>IF(A322="","",F322/Dashboard!$B$7)</f>
        <v>6.6533333333333333</v>
      </c>
      <c r="H322" s="15">
        <f>IF(A322="","",IF(F322&gt;=Dashboard!$B$7,1,0))</f>
        <v>1</v>
      </c>
    </row>
    <row r="323" spans="1:8" ht="21" customHeight="1">
      <c r="A323" s="15">
        <f>IF('Savings Inputs'!$B$14,317,"")</f>
        <v>317</v>
      </c>
      <c r="B323" s="16">
        <f>IF(A323="","",DATE(YEAR('Savings Inputs'!$B$10),MONTH('Savings Inputs'!$B$10)+A323+1,0))</f>
        <v>55974</v>
      </c>
      <c r="C323" s="17">
        <f t="shared" si="9"/>
        <v>998000</v>
      </c>
      <c r="D323" s="17">
        <f>IF(A323="","",'Savings Inputs'!$B$8)</f>
        <v>3000</v>
      </c>
      <c r="E323" s="17">
        <f>IF(A323="","",IF(A323='Savings Inputs'!$B$16,'Savings Inputs'!$B$9,0))</f>
        <v>0</v>
      </c>
      <c r="F323" s="17">
        <f t="shared" si="8"/>
        <v>1001000</v>
      </c>
      <c r="G323" s="18">
        <f>IF(A323="","",F323/Dashboard!$B$7)</f>
        <v>6.6733333333333329</v>
      </c>
      <c r="H323" s="15">
        <f>IF(A323="","",IF(F323&gt;=Dashboard!$B$7,1,0))</f>
        <v>1</v>
      </c>
    </row>
    <row r="324" spans="1:8" ht="21" customHeight="1">
      <c r="A324" s="15">
        <f>IF('Savings Inputs'!$B$14,318,"")</f>
        <v>318</v>
      </c>
      <c r="B324" s="16">
        <f>IF(A324="","",DATE(YEAR('Savings Inputs'!$B$10),MONTH('Savings Inputs'!$B$10)+A324+1,0))</f>
        <v>56004</v>
      </c>
      <c r="C324" s="17">
        <f t="shared" si="9"/>
        <v>1001000</v>
      </c>
      <c r="D324" s="17">
        <f>IF(A324="","",'Savings Inputs'!$B$8)</f>
        <v>3000</v>
      </c>
      <c r="E324" s="17">
        <f>IF(A324="","",IF(A324='Savings Inputs'!$B$16,'Savings Inputs'!$B$9,0))</f>
        <v>0</v>
      </c>
      <c r="F324" s="17">
        <f t="shared" si="8"/>
        <v>1004000</v>
      </c>
      <c r="G324" s="18">
        <f>IF(A324="","",F324/Dashboard!$B$7)</f>
        <v>6.6933333333333334</v>
      </c>
      <c r="H324" s="15">
        <f>IF(A324="","",IF(F324&gt;=Dashboard!$B$7,1,0))</f>
        <v>1</v>
      </c>
    </row>
    <row r="325" spans="1:8" ht="21" customHeight="1">
      <c r="A325" s="15">
        <f>IF('Savings Inputs'!$B$14,319,"")</f>
        <v>319</v>
      </c>
      <c r="B325" s="16">
        <f>IF(A325="","",DATE(YEAR('Savings Inputs'!$B$10),MONTH('Savings Inputs'!$B$10)+A325+1,0))</f>
        <v>56035</v>
      </c>
      <c r="C325" s="17">
        <f t="shared" si="9"/>
        <v>1004000</v>
      </c>
      <c r="D325" s="17">
        <f>IF(A325="","",'Savings Inputs'!$B$8)</f>
        <v>3000</v>
      </c>
      <c r="E325" s="17">
        <f>IF(A325="","",IF(A325='Savings Inputs'!$B$16,'Savings Inputs'!$B$9,0))</f>
        <v>0</v>
      </c>
      <c r="F325" s="17">
        <f t="shared" si="8"/>
        <v>1007000</v>
      </c>
      <c r="G325" s="18">
        <f>IF(A325="","",F325/Dashboard!$B$7)</f>
        <v>6.7133333333333329</v>
      </c>
      <c r="H325" s="15">
        <f>IF(A325="","",IF(F325&gt;=Dashboard!$B$7,1,0))</f>
        <v>1</v>
      </c>
    </row>
    <row r="326" spans="1:8" ht="21" customHeight="1">
      <c r="A326" s="15">
        <f>IF('Savings Inputs'!$B$14,320,"")</f>
        <v>320</v>
      </c>
      <c r="B326" s="16">
        <f>IF(A326="","",DATE(YEAR('Savings Inputs'!$B$10),MONTH('Savings Inputs'!$B$10)+A326+1,0))</f>
        <v>56065</v>
      </c>
      <c r="C326" s="17">
        <f t="shared" si="9"/>
        <v>1007000</v>
      </c>
      <c r="D326" s="17">
        <f>IF(A326="","",'Savings Inputs'!$B$8)</f>
        <v>3000</v>
      </c>
      <c r="E326" s="17">
        <f>IF(A326="","",IF(A326='Savings Inputs'!$B$16,'Savings Inputs'!$B$9,0))</f>
        <v>0</v>
      </c>
      <c r="F326" s="17">
        <f t="shared" si="8"/>
        <v>1010000</v>
      </c>
      <c r="G326" s="18">
        <f>IF(A326="","",F326/Dashboard!$B$7)</f>
        <v>6.7333333333333334</v>
      </c>
      <c r="H326" s="15">
        <f>IF(A326="","",IF(F326&gt;=Dashboard!$B$7,1,0))</f>
        <v>1</v>
      </c>
    </row>
    <row r="327" spans="1:8" ht="21" customHeight="1">
      <c r="A327" s="15">
        <f>IF('Savings Inputs'!$B$14,321,"")</f>
        <v>321</v>
      </c>
      <c r="B327" s="16">
        <f>IF(A327="","",DATE(YEAR('Savings Inputs'!$B$10),MONTH('Savings Inputs'!$B$10)+A327+1,0))</f>
        <v>56096</v>
      </c>
      <c r="C327" s="17">
        <f t="shared" si="9"/>
        <v>1010000</v>
      </c>
      <c r="D327" s="17">
        <f>IF(A327="","",'Savings Inputs'!$B$8)</f>
        <v>3000</v>
      </c>
      <c r="E327" s="17">
        <f>IF(A327="","",IF(A327='Savings Inputs'!$B$16,'Savings Inputs'!$B$9,0))</f>
        <v>0</v>
      </c>
      <c r="F327" s="17">
        <f t="shared" ref="F327:F390" si="10">IF(A327="","",SUM(C327:E327))</f>
        <v>1013000</v>
      </c>
      <c r="G327" s="18">
        <f>IF(A327="","",F327/Dashboard!$B$7)</f>
        <v>6.753333333333333</v>
      </c>
      <c r="H327" s="15">
        <f>IF(A327="","",IF(F327&gt;=Dashboard!$B$7,1,0))</f>
        <v>1</v>
      </c>
    </row>
    <row r="328" spans="1:8" ht="21" customHeight="1">
      <c r="A328" s="15">
        <f>IF('Savings Inputs'!$B$14,322,"")</f>
        <v>322</v>
      </c>
      <c r="B328" s="16">
        <f>IF(A328="","",DATE(YEAR('Savings Inputs'!$B$10),MONTH('Savings Inputs'!$B$10)+A328+1,0))</f>
        <v>56127</v>
      </c>
      <c r="C328" s="17">
        <f t="shared" ref="C328:C391" si="11">IF(A328="","",F327)</f>
        <v>1013000</v>
      </c>
      <c r="D328" s="17">
        <f>IF(A328="","",'Savings Inputs'!$B$8)</f>
        <v>3000</v>
      </c>
      <c r="E328" s="17">
        <f>IF(A328="","",IF(A328='Savings Inputs'!$B$16,'Savings Inputs'!$B$9,0))</f>
        <v>0</v>
      </c>
      <c r="F328" s="17">
        <f t="shared" si="10"/>
        <v>1016000</v>
      </c>
      <c r="G328" s="18">
        <f>IF(A328="","",F328/Dashboard!$B$7)</f>
        <v>6.7733333333333334</v>
      </c>
      <c r="H328" s="15">
        <f>IF(A328="","",IF(F328&gt;=Dashboard!$B$7,1,0))</f>
        <v>1</v>
      </c>
    </row>
    <row r="329" spans="1:8" ht="21" customHeight="1">
      <c r="A329" s="15">
        <f>IF('Savings Inputs'!$B$14,323,"")</f>
        <v>323</v>
      </c>
      <c r="B329" s="16">
        <f>IF(A329="","",DATE(YEAR('Savings Inputs'!$B$10),MONTH('Savings Inputs'!$B$10)+A329+1,0))</f>
        <v>56157</v>
      </c>
      <c r="C329" s="17">
        <f t="shared" si="11"/>
        <v>1016000</v>
      </c>
      <c r="D329" s="17">
        <f>IF(A329="","",'Savings Inputs'!$B$8)</f>
        <v>3000</v>
      </c>
      <c r="E329" s="17">
        <f>IF(A329="","",IF(A329='Savings Inputs'!$B$16,'Savings Inputs'!$B$9,0))</f>
        <v>0</v>
      </c>
      <c r="F329" s="17">
        <f t="shared" si="10"/>
        <v>1019000</v>
      </c>
      <c r="G329" s="18">
        <f>IF(A329="","",F329/Dashboard!$B$7)</f>
        <v>6.793333333333333</v>
      </c>
      <c r="H329" s="15">
        <f>IF(A329="","",IF(F329&gt;=Dashboard!$B$7,1,0))</f>
        <v>1</v>
      </c>
    </row>
    <row r="330" spans="1:8" ht="21" customHeight="1">
      <c r="A330" s="15">
        <f>IF('Savings Inputs'!$B$14,324,"")</f>
        <v>324</v>
      </c>
      <c r="B330" s="16">
        <f>IF(A330="","",DATE(YEAR('Savings Inputs'!$B$10),MONTH('Savings Inputs'!$B$10)+A330+1,0))</f>
        <v>56188</v>
      </c>
      <c r="C330" s="17">
        <f t="shared" si="11"/>
        <v>1019000</v>
      </c>
      <c r="D330" s="17">
        <f>IF(A330="","",'Savings Inputs'!$B$8)</f>
        <v>3000</v>
      </c>
      <c r="E330" s="17">
        <f>IF(A330="","",IF(A330='Savings Inputs'!$B$16,'Savings Inputs'!$B$9,0))</f>
        <v>0</v>
      </c>
      <c r="F330" s="17">
        <f t="shared" si="10"/>
        <v>1022000</v>
      </c>
      <c r="G330" s="18">
        <f>IF(A330="","",F330/Dashboard!$B$7)</f>
        <v>6.8133333333333335</v>
      </c>
      <c r="H330" s="15">
        <f>IF(A330="","",IF(F330&gt;=Dashboard!$B$7,1,0))</f>
        <v>1</v>
      </c>
    </row>
    <row r="331" spans="1:8" ht="21" customHeight="1">
      <c r="A331" s="15">
        <f>IF('Savings Inputs'!$B$14,325,"")</f>
        <v>325</v>
      </c>
      <c r="B331" s="16">
        <f>IF(A331="","",DATE(YEAR('Savings Inputs'!$B$10),MONTH('Savings Inputs'!$B$10)+A331+1,0))</f>
        <v>56218</v>
      </c>
      <c r="C331" s="17">
        <f t="shared" si="11"/>
        <v>1022000</v>
      </c>
      <c r="D331" s="17">
        <f>IF(A331="","",'Savings Inputs'!$B$8)</f>
        <v>3000</v>
      </c>
      <c r="E331" s="17">
        <f>IF(A331="","",IF(A331='Savings Inputs'!$B$16,'Savings Inputs'!$B$9,0))</f>
        <v>0</v>
      </c>
      <c r="F331" s="17">
        <f t="shared" si="10"/>
        <v>1025000</v>
      </c>
      <c r="G331" s="18">
        <f>IF(A331="","",F331/Dashboard!$B$7)</f>
        <v>6.833333333333333</v>
      </c>
      <c r="H331" s="15">
        <f>IF(A331="","",IF(F331&gt;=Dashboard!$B$7,1,0))</f>
        <v>1</v>
      </c>
    </row>
    <row r="332" spans="1:8" ht="21" customHeight="1">
      <c r="A332" s="15">
        <f>IF('Savings Inputs'!$B$14,326,"")</f>
        <v>326</v>
      </c>
      <c r="B332" s="16">
        <f>IF(A332="","",DATE(YEAR('Savings Inputs'!$B$10),MONTH('Savings Inputs'!$B$10)+A332+1,0))</f>
        <v>56249</v>
      </c>
      <c r="C332" s="17">
        <f t="shared" si="11"/>
        <v>1025000</v>
      </c>
      <c r="D332" s="17">
        <f>IF(A332="","",'Savings Inputs'!$B$8)</f>
        <v>3000</v>
      </c>
      <c r="E332" s="17">
        <f>IF(A332="","",IF(A332='Savings Inputs'!$B$16,'Savings Inputs'!$B$9,0))</f>
        <v>0</v>
      </c>
      <c r="F332" s="17">
        <f t="shared" si="10"/>
        <v>1028000</v>
      </c>
      <c r="G332" s="18">
        <f>IF(A332="","",F332/Dashboard!$B$7)</f>
        <v>6.8533333333333335</v>
      </c>
      <c r="H332" s="15">
        <f>IF(A332="","",IF(F332&gt;=Dashboard!$B$7,1,0))</f>
        <v>1</v>
      </c>
    </row>
    <row r="333" spans="1:8" ht="21" customHeight="1">
      <c r="A333" s="15">
        <f>IF('Savings Inputs'!$B$14,327,"")</f>
        <v>327</v>
      </c>
      <c r="B333" s="16">
        <f>IF(A333="","",DATE(YEAR('Savings Inputs'!$B$10),MONTH('Savings Inputs'!$B$10)+A333+1,0))</f>
        <v>56280</v>
      </c>
      <c r="C333" s="17">
        <f t="shared" si="11"/>
        <v>1028000</v>
      </c>
      <c r="D333" s="17">
        <f>IF(A333="","",'Savings Inputs'!$B$8)</f>
        <v>3000</v>
      </c>
      <c r="E333" s="17">
        <f>IF(A333="","",IF(A333='Savings Inputs'!$B$16,'Savings Inputs'!$B$9,0))</f>
        <v>0</v>
      </c>
      <c r="F333" s="17">
        <f t="shared" si="10"/>
        <v>1031000</v>
      </c>
      <c r="G333" s="18">
        <f>IF(A333="","",F333/Dashboard!$B$7)</f>
        <v>6.8733333333333331</v>
      </c>
      <c r="H333" s="15">
        <f>IF(A333="","",IF(F333&gt;=Dashboard!$B$7,1,0))</f>
        <v>1</v>
      </c>
    </row>
    <row r="334" spans="1:8" ht="21" customHeight="1">
      <c r="A334" s="15">
        <f>IF('Savings Inputs'!$B$14,328,"")</f>
        <v>328</v>
      </c>
      <c r="B334" s="16">
        <f>IF(A334="","",DATE(YEAR('Savings Inputs'!$B$10),MONTH('Savings Inputs'!$B$10)+A334+1,0))</f>
        <v>56308</v>
      </c>
      <c r="C334" s="17">
        <f t="shared" si="11"/>
        <v>1031000</v>
      </c>
      <c r="D334" s="17">
        <f>IF(A334="","",'Savings Inputs'!$B$8)</f>
        <v>3000</v>
      </c>
      <c r="E334" s="17">
        <f>IF(A334="","",IF(A334='Savings Inputs'!$B$16,'Savings Inputs'!$B$9,0))</f>
        <v>0</v>
      </c>
      <c r="F334" s="17">
        <f t="shared" si="10"/>
        <v>1034000</v>
      </c>
      <c r="G334" s="18">
        <f>IF(A334="","",F334/Dashboard!$B$7)</f>
        <v>6.8933333333333335</v>
      </c>
      <c r="H334" s="15">
        <f>IF(A334="","",IF(F334&gt;=Dashboard!$B$7,1,0))</f>
        <v>1</v>
      </c>
    </row>
    <row r="335" spans="1:8" ht="21" customHeight="1">
      <c r="A335" s="15">
        <f>IF('Savings Inputs'!$B$14,329,"")</f>
        <v>329</v>
      </c>
      <c r="B335" s="16">
        <f>IF(A335="","",DATE(YEAR('Savings Inputs'!$B$10),MONTH('Savings Inputs'!$B$10)+A335+1,0))</f>
        <v>56339</v>
      </c>
      <c r="C335" s="17">
        <f t="shared" si="11"/>
        <v>1034000</v>
      </c>
      <c r="D335" s="17">
        <f>IF(A335="","",'Savings Inputs'!$B$8)</f>
        <v>3000</v>
      </c>
      <c r="E335" s="17">
        <f>IF(A335="","",IF(A335='Savings Inputs'!$B$16,'Savings Inputs'!$B$9,0))</f>
        <v>0</v>
      </c>
      <c r="F335" s="17">
        <f t="shared" si="10"/>
        <v>1037000</v>
      </c>
      <c r="G335" s="18">
        <f>IF(A335="","",F335/Dashboard!$B$7)</f>
        <v>6.9133333333333331</v>
      </c>
      <c r="H335" s="15">
        <f>IF(A335="","",IF(F335&gt;=Dashboard!$B$7,1,0))</f>
        <v>1</v>
      </c>
    </row>
    <row r="336" spans="1:8" ht="21" customHeight="1">
      <c r="A336" s="15">
        <f>IF('Savings Inputs'!$B$14,330,"")</f>
        <v>330</v>
      </c>
      <c r="B336" s="16">
        <f>IF(A336="","",DATE(YEAR('Savings Inputs'!$B$10),MONTH('Savings Inputs'!$B$10)+A336+1,0))</f>
        <v>56369</v>
      </c>
      <c r="C336" s="17">
        <f t="shared" si="11"/>
        <v>1037000</v>
      </c>
      <c r="D336" s="17">
        <f>IF(A336="","",'Savings Inputs'!$B$8)</f>
        <v>3000</v>
      </c>
      <c r="E336" s="17">
        <f>IF(A336="","",IF(A336='Savings Inputs'!$B$16,'Savings Inputs'!$B$9,0))</f>
        <v>0</v>
      </c>
      <c r="F336" s="17">
        <f t="shared" si="10"/>
        <v>1040000</v>
      </c>
      <c r="G336" s="18">
        <f>IF(A336="","",F336/Dashboard!$B$7)</f>
        <v>6.9333333333333336</v>
      </c>
      <c r="H336" s="15">
        <f>IF(A336="","",IF(F336&gt;=Dashboard!$B$7,1,0))</f>
        <v>1</v>
      </c>
    </row>
    <row r="337" spans="1:8" ht="21" customHeight="1">
      <c r="A337" s="15">
        <f>IF('Savings Inputs'!$B$14,331,"")</f>
        <v>331</v>
      </c>
      <c r="B337" s="16">
        <f>IF(A337="","",DATE(YEAR('Savings Inputs'!$B$10),MONTH('Savings Inputs'!$B$10)+A337+1,0))</f>
        <v>56400</v>
      </c>
      <c r="C337" s="17">
        <f t="shared" si="11"/>
        <v>1040000</v>
      </c>
      <c r="D337" s="17">
        <f>IF(A337="","",'Savings Inputs'!$B$8)</f>
        <v>3000</v>
      </c>
      <c r="E337" s="17">
        <f>IF(A337="","",IF(A337='Savings Inputs'!$B$16,'Savings Inputs'!$B$9,0))</f>
        <v>0</v>
      </c>
      <c r="F337" s="17">
        <f t="shared" si="10"/>
        <v>1043000</v>
      </c>
      <c r="G337" s="18">
        <f>IF(A337="","",F337/Dashboard!$B$7)</f>
        <v>6.9533333333333331</v>
      </c>
      <c r="H337" s="15">
        <f>IF(A337="","",IF(F337&gt;=Dashboard!$B$7,1,0))</f>
        <v>1</v>
      </c>
    </row>
    <row r="338" spans="1:8" ht="21" customHeight="1">
      <c r="A338" s="15">
        <f>IF('Savings Inputs'!$B$14,332,"")</f>
        <v>332</v>
      </c>
      <c r="B338" s="16">
        <f>IF(A338="","",DATE(YEAR('Savings Inputs'!$B$10),MONTH('Savings Inputs'!$B$10)+A338+1,0))</f>
        <v>56430</v>
      </c>
      <c r="C338" s="17">
        <f t="shared" si="11"/>
        <v>1043000</v>
      </c>
      <c r="D338" s="17">
        <f>IF(A338="","",'Savings Inputs'!$B$8)</f>
        <v>3000</v>
      </c>
      <c r="E338" s="17">
        <f>IF(A338="","",IF(A338='Savings Inputs'!$B$16,'Savings Inputs'!$B$9,0))</f>
        <v>0</v>
      </c>
      <c r="F338" s="17">
        <f t="shared" si="10"/>
        <v>1046000</v>
      </c>
      <c r="G338" s="18">
        <f>IF(A338="","",F338/Dashboard!$B$7)</f>
        <v>6.9733333333333336</v>
      </c>
      <c r="H338" s="15">
        <f>IF(A338="","",IF(F338&gt;=Dashboard!$B$7,1,0))</f>
        <v>1</v>
      </c>
    </row>
    <row r="339" spans="1:8" ht="21" customHeight="1">
      <c r="A339" s="15">
        <f>IF('Savings Inputs'!$B$14,333,"")</f>
        <v>333</v>
      </c>
      <c r="B339" s="16">
        <f>IF(A339="","",DATE(YEAR('Savings Inputs'!$B$10),MONTH('Savings Inputs'!$B$10)+A339+1,0))</f>
        <v>56461</v>
      </c>
      <c r="C339" s="17">
        <f t="shared" si="11"/>
        <v>1046000</v>
      </c>
      <c r="D339" s="17">
        <f>IF(A339="","",'Savings Inputs'!$B$8)</f>
        <v>3000</v>
      </c>
      <c r="E339" s="17">
        <f>IF(A339="","",IF(A339='Savings Inputs'!$B$16,'Savings Inputs'!$B$9,0))</f>
        <v>0</v>
      </c>
      <c r="F339" s="17">
        <f t="shared" si="10"/>
        <v>1049000</v>
      </c>
      <c r="G339" s="18">
        <f>IF(A339="","",F339/Dashboard!$B$7)</f>
        <v>6.9933333333333332</v>
      </c>
      <c r="H339" s="15">
        <f>IF(A339="","",IF(F339&gt;=Dashboard!$B$7,1,0))</f>
        <v>1</v>
      </c>
    </row>
    <row r="340" spans="1:8" ht="21" customHeight="1">
      <c r="A340" s="15">
        <f>IF('Savings Inputs'!$B$14,334,"")</f>
        <v>334</v>
      </c>
      <c r="B340" s="16">
        <f>IF(A340="","",DATE(YEAR('Savings Inputs'!$B$10),MONTH('Savings Inputs'!$B$10)+A340+1,0))</f>
        <v>56492</v>
      </c>
      <c r="C340" s="17">
        <f t="shared" si="11"/>
        <v>1049000</v>
      </c>
      <c r="D340" s="17">
        <f>IF(A340="","",'Savings Inputs'!$B$8)</f>
        <v>3000</v>
      </c>
      <c r="E340" s="17">
        <f>IF(A340="","",IF(A340='Savings Inputs'!$B$16,'Savings Inputs'!$B$9,0))</f>
        <v>0</v>
      </c>
      <c r="F340" s="17">
        <f t="shared" si="10"/>
        <v>1052000</v>
      </c>
      <c r="G340" s="18">
        <f>IF(A340="","",F340/Dashboard!$B$7)</f>
        <v>7.0133333333333336</v>
      </c>
      <c r="H340" s="15">
        <f>IF(A340="","",IF(F340&gt;=Dashboard!$B$7,1,0))</f>
        <v>1</v>
      </c>
    </row>
    <row r="341" spans="1:8" ht="21" customHeight="1">
      <c r="A341" s="15">
        <f>IF('Savings Inputs'!$B$14,335,"")</f>
        <v>335</v>
      </c>
      <c r="B341" s="16">
        <f>IF(A341="","",DATE(YEAR('Savings Inputs'!$B$10),MONTH('Savings Inputs'!$B$10)+A341+1,0))</f>
        <v>56522</v>
      </c>
      <c r="C341" s="17">
        <f t="shared" si="11"/>
        <v>1052000</v>
      </c>
      <c r="D341" s="17">
        <f>IF(A341="","",'Savings Inputs'!$B$8)</f>
        <v>3000</v>
      </c>
      <c r="E341" s="17">
        <f>IF(A341="","",IF(A341='Savings Inputs'!$B$16,'Savings Inputs'!$B$9,0))</f>
        <v>0</v>
      </c>
      <c r="F341" s="17">
        <f t="shared" si="10"/>
        <v>1055000</v>
      </c>
      <c r="G341" s="18">
        <f>IF(A341="","",F341/Dashboard!$B$7)</f>
        <v>7.0333333333333332</v>
      </c>
      <c r="H341" s="15">
        <f>IF(A341="","",IF(F341&gt;=Dashboard!$B$7,1,0))</f>
        <v>1</v>
      </c>
    </row>
    <row r="342" spans="1:8" ht="21" customHeight="1">
      <c r="A342" s="15">
        <f>IF('Savings Inputs'!$B$14,336,"")</f>
        <v>336</v>
      </c>
      <c r="B342" s="16">
        <f>IF(A342="","",DATE(YEAR('Savings Inputs'!$B$10),MONTH('Savings Inputs'!$B$10)+A342+1,0))</f>
        <v>56553</v>
      </c>
      <c r="C342" s="17">
        <f t="shared" si="11"/>
        <v>1055000</v>
      </c>
      <c r="D342" s="17">
        <f>IF(A342="","",'Savings Inputs'!$B$8)</f>
        <v>3000</v>
      </c>
      <c r="E342" s="17">
        <f>IF(A342="","",IF(A342='Savings Inputs'!$B$16,'Savings Inputs'!$B$9,0))</f>
        <v>0</v>
      </c>
      <c r="F342" s="17">
        <f t="shared" si="10"/>
        <v>1058000</v>
      </c>
      <c r="G342" s="18">
        <f>IF(A342="","",F342/Dashboard!$B$7)</f>
        <v>7.0533333333333337</v>
      </c>
      <c r="H342" s="15">
        <f>IF(A342="","",IF(F342&gt;=Dashboard!$B$7,1,0))</f>
        <v>1</v>
      </c>
    </row>
    <row r="343" spans="1:8" ht="21" customHeight="1">
      <c r="A343" s="15">
        <f>IF('Savings Inputs'!$B$14,337,"")</f>
        <v>337</v>
      </c>
      <c r="B343" s="16">
        <f>IF(A343="","",DATE(YEAR('Savings Inputs'!$B$10),MONTH('Savings Inputs'!$B$10)+A343+1,0))</f>
        <v>56583</v>
      </c>
      <c r="C343" s="17">
        <f t="shared" si="11"/>
        <v>1058000</v>
      </c>
      <c r="D343" s="17">
        <f>IF(A343="","",'Savings Inputs'!$B$8)</f>
        <v>3000</v>
      </c>
      <c r="E343" s="17">
        <f>IF(A343="","",IF(A343='Savings Inputs'!$B$16,'Savings Inputs'!$B$9,0))</f>
        <v>0</v>
      </c>
      <c r="F343" s="17">
        <f t="shared" si="10"/>
        <v>1061000</v>
      </c>
      <c r="G343" s="18">
        <f>IF(A343="","",F343/Dashboard!$B$7)</f>
        <v>7.0733333333333333</v>
      </c>
      <c r="H343" s="15">
        <f>IF(A343="","",IF(F343&gt;=Dashboard!$B$7,1,0))</f>
        <v>1</v>
      </c>
    </row>
    <row r="344" spans="1:8" ht="21" customHeight="1">
      <c r="A344" s="15">
        <f>IF('Savings Inputs'!$B$14,338,"")</f>
        <v>338</v>
      </c>
      <c r="B344" s="16">
        <f>IF(A344="","",DATE(YEAR('Savings Inputs'!$B$10),MONTH('Savings Inputs'!$B$10)+A344+1,0))</f>
        <v>56614</v>
      </c>
      <c r="C344" s="17">
        <f t="shared" si="11"/>
        <v>1061000</v>
      </c>
      <c r="D344" s="17">
        <f>IF(A344="","",'Savings Inputs'!$B$8)</f>
        <v>3000</v>
      </c>
      <c r="E344" s="17">
        <f>IF(A344="","",IF(A344='Savings Inputs'!$B$16,'Savings Inputs'!$B$9,0))</f>
        <v>0</v>
      </c>
      <c r="F344" s="17">
        <f t="shared" si="10"/>
        <v>1064000</v>
      </c>
      <c r="G344" s="18">
        <f>IF(A344="","",F344/Dashboard!$B$7)</f>
        <v>7.0933333333333337</v>
      </c>
      <c r="H344" s="15">
        <f>IF(A344="","",IF(F344&gt;=Dashboard!$B$7,1,0))</f>
        <v>1</v>
      </c>
    </row>
    <row r="345" spans="1:8" ht="21" customHeight="1">
      <c r="A345" s="15">
        <f>IF('Savings Inputs'!$B$14,339,"")</f>
        <v>339</v>
      </c>
      <c r="B345" s="16">
        <f>IF(A345="","",DATE(YEAR('Savings Inputs'!$B$10),MONTH('Savings Inputs'!$B$10)+A345+1,0))</f>
        <v>56645</v>
      </c>
      <c r="C345" s="17">
        <f t="shared" si="11"/>
        <v>1064000</v>
      </c>
      <c r="D345" s="17">
        <f>IF(A345="","",'Savings Inputs'!$B$8)</f>
        <v>3000</v>
      </c>
      <c r="E345" s="17">
        <f>IF(A345="","",IF(A345='Savings Inputs'!$B$16,'Savings Inputs'!$B$9,0))</f>
        <v>0</v>
      </c>
      <c r="F345" s="17">
        <f t="shared" si="10"/>
        <v>1067000</v>
      </c>
      <c r="G345" s="18">
        <f>IF(A345="","",F345/Dashboard!$B$7)</f>
        <v>7.1133333333333333</v>
      </c>
      <c r="H345" s="15">
        <f>IF(A345="","",IF(F345&gt;=Dashboard!$B$7,1,0))</f>
        <v>1</v>
      </c>
    </row>
    <row r="346" spans="1:8" ht="21" customHeight="1">
      <c r="A346" s="15">
        <f>IF('Savings Inputs'!$B$14,340,"")</f>
        <v>340</v>
      </c>
      <c r="B346" s="16">
        <f>IF(A346="","",DATE(YEAR('Savings Inputs'!$B$10),MONTH('Savings Inputs'!$B$10)+A346+1,0))</f>
        <v>56673</v>
      </c>
      <c r="C346" s="17">
        <f t="shared" si="11"/>
        <v>1067000</v>
      </c>
      <c r="D346" s="17">
        <f>IF(A346="","",'Savings Inputs'!$B$8)</f>
        <v>3000</v>
      </c>
      <c r="E346" s="17">
        <f>IF(A346="","",IF(A346='Savings Inputs'!$B$16,'Savings Inputs'!$B$9,0))</f>
        <v>0</v>
      </c>
      <c r="F346" s="17">
        <f t="shared" si="10"/>
        <v>1070000</v>
      </c>
      <c r="G346" s="18">
        <f>IF(A346="","",F346/Dashboard!$B$7)</f>
        <v>7.1333333333333337</v>
      </c>
      <c r="H346" s="15">
        <f>IF(A346="","",IF(F346&gt;=Dashboard!$B$7,1,0))</f>
        <v>1</v>
      </c>
    </row>
    <row r="347" spans="1:8" ht="21" customHeight="1">
      <c r="A347" s="15">
        <f>IF('Savings Inputs'!$B$14,341,"")</f>
        <v>341</v>
      </c>
      <c r="B347" s="16">
        <f>IF(A347="","",DATE(YEAR('Savings Inputs'!$B$10),MONTH('Savings Inputs'!$B$10)+A347+1,0))</f>
        <v>56704</v>
      </c>
      <c r="C347" s="17">
        <f t="shared" si="11"/>
        <v>1070000</v>
      </c>
      <c r="D347" s="17">
        <f>IF(A347="","",'Savings Inputs'!$B$8)</f>
        <v>3000</v>
      </c>
      <c r="E347" s="17">
        <f>IF(A347="","",IF(A347='Savings Inputs'!$B$16,'Savings Inputs'!$B$9,0))</f>
        <v>0</v>
      </c>
      <c r="F347" s="17">
        <f t="shared" si="10"/>
        <v>1073000</v>
      </c>
      <c r="G347" s="18">
        <f>IF(A347="","",F347/Dashboard!$B$7)</f>
        <v>7.1533333333333333</v>
      </c>
      <c r="H347" s="15">
        <f>IF(A347="","",IF(F347&gt;=Dashboard!$B$7,1,0))</f>
        <v>1</v>
      </c>
    </row>
    <row r="348" spans="1:8" ht="21" customHeight="1">
      <c r="A348" s="15">
        <f>IF('Savings Inputs'!$B$14,342,"")</f>
        <v>342</v>
      </c>
      <c r="B348" s="16">
        <f>IF(A348="","",DATE(YEAR('Savings Inputs'!$B$10),MONTH('Savings Inputs'!$B$10)+A348+1,0))</f>
        <v>56734</v>
      </c>
      <c r="C348" s="17">
        <f t="shared" si="11"/>
        <v>1073000</v>
      </c>
      <c r="D348" s="17">
        <f>IF(A348="","",'Savings Inputs'!$B$8)</f>
        <v>3000</v>
      </c>
      <c r="E348" s="17">
        <f>IF(A348="","",IF(A348='Savings Inputs'!$B$16,'Savings Inputs'!$B$9,0))</f>
        <v>0</v>
      </c>
      <c r="F348" s="17">
        <f t="shared" si="10"/>
        <v>1076000</v>
      </c>
      <c r="G348" s="18">
        <f>IF(A348="","",F348/Dashboard!$B$7)</f>
        <v>7.1733333333333329</v>
      </c>
      <c r="H348" s="15">
        <f>IF(A348="","",IF(F348&gt;=Dashboard!$B$7,1,0))</f>
        <v>1</v>
      </c>
    </row>
    <row r="349" spans="1:8" ht="21" customHeight="1">
      <c r="A349" s="15">
        <f>IF('Savings Inputs'!$B$14,343,"")</f>
        <v>343</v>
      </c>
      <c r="B349" s="16">
        <f>IF(A349="","",DATE(YEAR('Savings Inputs'!$B$10),MONTH('Savings Inputs'!$B$10)+A349+1,0))</f>
        <v>56765</v>
      </c>
      <c r="C349" s="17">
        <f t="shared" si="11"/>
        <v>1076000</v>
      </c>
      <c r="D349" s="17">
        <f>IF(A349="","",'Savings Inputs'!$B$8)</f>
        <v>3000</v>
      </c>
      <c r="E349" s="17">
        <f>IF(A349="","",IF(A349='Savings Inputs'!$B$16,'Savings Inputs'!$B$9,0))</f>
        <v>0</v>
      </c>
      <c r="F349" s="17">
        <f t="shared" si="10"/>
        <v>1079000</v>
      </c>
      <c r="G349" s="18">
        <f>IF(A349="","",F349/Dashboard!$B$7)</f>
        <v>7.1933333333333334</v>
      </c>
      <c r="H349" s="15">
        <f>IF(A349="","",IF(F349&gt;=Dashboard!$B$7,1,0))</f>
        <v>1</v>
      </c>
    </row>
    <row r="350" spans="1:8" ht="21" customHeight="1">
      <c r="A350" s="15">
        <f>IF('Savings Inputs'!$B$14,344,"")</f>
        <v>344</v>
      </c>
      <c r="B350" s="16">
        <f>IF(A350="","",DATE(YEAR('Savings Inputs'!$B$10),MONTH('Savings Inputs'!$B$10)+A350+1,0))</f>
        <v>56795</v>
      </c>
      <c r="C350" s="17">
        <f t="shared" si="11"/>
        <v>1079000</v>
      </c>
      <c r="D350" s="17">
        <f>IF(A350="","",'Savings Inputs'!$B$8)</f>
        <v>3000</v>
      </c>
      <c r="E350" s="17">
        <f>IF(A350="","",IF(A350='Savings Inputs'!$B$16,'Savings Inputs'!$B$9,0))</f>
        <v>0</v>
      </c>
      <c r="F350" s="17">
        <f t="shared" si="10"/>
        <v>1082000</v>
      </c>
      <c r="G350" s="18">
        <f>IF(A350="","",F350/Dashboard!$B$7)</f>
        <v>7.2133333333333329</v>
      </c>
      <c r="H350" s="15">
        <f>IF(A350="","",IF(F350&gt;=Dashboard!$B$7,1,0))</f>
        <v>1</v>
      </c>
    </row>
    <row r="351" spans="1:8" ht="21" customHeight="1">
      <c r="A351" s="15">
        <f>IF('Savings Inputs'!$B$14,345,"")</f>
        <v>345</v>
      </c>
      <c r="B351" s="16">
        <f>IF(A351="","",DATE(YEAR('Savings Inputs'!$B$10),MONTH('Savings Inputs'!$B$10)+A351+1,0))</f>
        <v>56826</v>
      </c>
      <c r="C351" s="17">
        <f t="shared" si="11"/>
        <v>1082000</v>
      </c>
      <c r="D351" s="17">
        <f>IF(A351="","",'Savings Inputs'!$B$8)</f>
        <v>3000</v>
      </c>
      <c r="E351" s="17">
        <f>IF(A351="","",IF(A351='Savings Inputs'!$B$16,'Savings Inputs'!$B$9,0))</f>
        <v>0</v>
      </c>
      <c r="F351" s="17">
        <f t="shared" si="10"/>
        <v>1085000</v>
      </c>
      <c r="G351" s="18">
        <f>IF(A351="","",F351/Dashboard!$B$7)</f>
        <v>7.2333333333333334</v>
      </c>
      <c r="H351" s="15">
        <f>IF(A351="","",IF(F351&gt;=Dashboard!$B$7,1,0))</f>
        <v>1</v>
      </c>
    </row>
    <row r="352" spans="1:8" ht="21" customHeight="1">
      <c r="A352" s="15">
        <f>IF('Savings Inputs'!$B$14,346,"")</f>
        <v>346</v>
      </c>
      <c r="B352" s="16">
        <f>IF(A352="","",DATE(YEAR('Savings Inputs'!$B$10),MONTH('Savings Inputs'!$B$10)+A352+1,0))</f>
        <v>56857</v>
      </c>
      <c r="C352" s="17">
        <f t="shared" si="11"/>
        <v>1085000</v>
      </c>
      <c r="D352" s="17">
        <f>IF(A352="","",'Savings Inputs'!$B$8)</f>
        <v>3000</v>
      </c>
      <c r="E352" s="17">
        <f>IF(A352="","",IF(A352='Savings Inputs'!$B$16,'Savings Inputs'!$B$9,0))</f>
        <v>0</v>
      </c>
      <c r="F352" s="17">
        <f t="shared" si="10"/>
        <v>1088000</v>
      </c>
      <c r="G352" s="18">
        <f>IF(A352="","",F352/Dashboard!$B$7)</f>
        <v>7.253333333333333</v>
      </c>
      <c r="H352" s="15">
        <f>IF(A352="","",IF(F352&gt;=Dashboard!$B$7,1,0))</f>
        <v>1</v>
      </c>
    </row>
    <row r="353" spans="1:8" ht="21" customHeight="1">
      <c r="A353" s="15">
        <f>IF('Savings Inputs'!$B$14,347,"")</f>
        <v>347</v>
      </c>
      <c r="B353" s="16">
        <f>IF(A353="","",DATE(YEAR('Savings Inputs'!$B$10),MONTH('Savings Inputs'!$B$10)+A353+1,0))</f>
        <v>56887</v>
      </c>
      <c r="C353" s="17">
        <f t="shared" si="11"/>
        <v>1088000</v>
      </c>
      <c r="D353" s="17">
        <f>IF(A353="","",'Savings Inputs'!$B$8)</f>
        <v>3000</v>
      </c>
      <c r="E353" s="17">
        <f>IF(A353="","",IF(A353='Savings Inputs'!$B$16,'Savings Inputs'!$B$9,0))</f>
        <v>0</v>
      </c>
      <c r="F353" s="17">
        <f t="shared" si="10"/>
        <v>1091000</v>
      </c>
      <c r="G353" s="18">
        <f>IF(A353="","",F353/Dashboard!$B$7)</f>
        <v>7.2733333333333334</v>
      </c>
      <c r="H353" s="15">
        <f>IF(A353="","",IF(F353&gt;=Dashboard!$B$7,1,0))</f>
        <v>1</v>
      </c>
    </row>
    <row r="354" spans="1:8" ht="21" customHeight="1">
      <c r="A354" s="15">
        <f>IF('Savings Inputs'!$B$14,348,"")</f>
        <v>348</v>
      </c>
      <c r="B354" s="16">
        <f>IF(A354="","",DATE(YEAR('Savings Inputs'!$B$10),MONTH('Savings Inputs'!$B$10)+A354+1,0))</f>
        <v>56918</v>
      </c>
      <c r="C354" s="17">
        <f t="shared" si="11"/>
        <v>1091000</v>
      </c>
      <c r="D354" s="17">
        <f>IF(A354="","",'Savings Inputs'!$B$8)</f>
        <v>3000</v>
      </c>
      <c r="E354" s="17">
        <f>IF(A354="","",IF(A354='Savings Inputs'!$B$16,'Savings Inputs'!$B$9,0))</f>
        <v>0</v>
      </c>
      <c r="F354" s="17">
        <f t="shared" si="10"/>
        <v>1094000</v>
      </c>
      <c r="G354" s="18">
        <f>IF(A354="","",F354/Dashboard!$B$7)</f>
        <v>7.293333333333333</v>
      </c>
      <c r="H354" s="15">
        <f>IF(A354="","",IF(F354&gt;=Dashboard!$B$7,1,0))</f>
        <v>1</v>
      </c>
    </row>
    <row r="355" spans="1:8" ht="21" customHeight="1">
      <c r="A355" s="15">
        <f>IF('Savings Inputs'!$B$14,349,"")</f>
        <v>349</v>
      </c>
      <c r="B355" s="16">
        <f>IF(A355="","",DATE(YEAR('Savings Inputs'!$B$10),MONTH('Savings Inputs'!$B$10)+A355+1,0))</f>
        <v>56948</v>
      </c>
      <c r="C355" s="17">
        <f t="shared" si="11"/>
        <v>1094000</v>
      </c>
      <c r="D355" s="17">
        <f>IF(A355="","",'Savings Inputs'!$B$8)</f>
        <v>3000</v>
      </c>
      <c r="E355" s="17">
        <f>IF(A355="","",IF(A355='Savings Inputs'!$B$16,'Savings Inputs'!$B$9,0))</f>
        <v>0</v>
      </c>
      <c r="F355" s="17">
        <f t="shared" si="10"/>
        <v>1097000</v>
      </c>
      <c r="G355" s="18">
        <f>IF(A355="","",F355/Dashboard!$B$7)</f>
        <v>7.3133333333333335</v>
      </c>
      <c r="H355" s="15">
        <f>IF(A355="","",IF(F355&gt;=Dashboard!$B$7,1,0))</f>
        <v>1</v>
      </c>
    </row>
    <row r="356" spans="1:8" ht="21" customHeight="1">
      <c r="A356" s="15">
        <f>IF('Savings Inputs'!$B$14,350,"")</f>
        <v>350</v>
      </c>
      <c r="B356" s="16">
        <f>IF(A356="","",DATE(YEAR('Savings Inputs'!$B$10),MONTH('Savings Inputs'!$B$10)+A356+1,0))</f>
        <v>56979</v>
      </c>
      <c r="C356" s="17">
        <f t="shared" si="11"/>
        <v>1097000</v>
      </c>
      <c r="D356" s="17">
        <f>IF(A356="","",'Savings Inputs'!$B$8)</f>
        <v>3000</v>
      </c>
      <c r="E356" s="17">
        <f>IF(A356="","",IF(A356='Savings Inputs'!$B$16,'Savings Inputs'!$B$9,0))</f>
        <v>0</v>
      </c>
      <c r="F356" s="17">
        <f t="shared" si="10"/>
        <v>1100000</v>
      </c>
      <c r="G356" s="18">
        <f>IF(A356="","",F356/Dashboard!$B$7)</f>
        <v>7.333333333333333</v>
      </c>
      <c r="H356" s="15">
        <f>IF(A356="","",IF(F356&gt;=Dashboard!$B$7,1,0))</f>
        <v>1</v>
      </c>
    </row>
    <row r="357" spans="1:8" ht="21" customHeight="1">
      <c r="A357" s="15">
        <f>IF('Savings Inputs'!$B$14,351,"")</f>
        <v>351</v>
      </c>
      <c r="B357" s="16">
        <f>IF(A357="","",DATE(YEAR('Savings Inputs'!$B$10),MONTH('Savings Inputs'!$B$10)+A357+1,0))</f>
        <v>57010</v>
      </c>
      <c r="C357" s="17">
        <f t="shared" si="11"/>
        <v>1100000</v>
      </c>
      <c r="D357" s="17">
        <f>IF(A357="","",'Savings Inputs'!$B$8)</f>
        <v>3000</v>
      </c>
      <c r="E357" s="17">
        <f>IF(A357="","",IF(A357='Savings Inputs'!$B$16,'Savings Inputs'!$B$9,0))</f>
        <v>0</v>
      </c>
      <c r="F357" s="17">
        <f t="shared" si="10"/>
        <v>1103000</v>
      </c>
      <c r="G357" s="18">
        <f>IF(A357="","",F357/Dashboard!$B$7)</f>
        <v>7.3533333333333335</v>
      </c>
      <c r="H357" s="15">
        <f>IF(A357="","",IF(F357&gt;=Dashboard!$B$7,1,0))</f>
        <v>1</v>
      </c>
    </row>
    <row r="358" spans="1:8" ht="21" customHeight="1">
      <c r="A358" s="15">
        <f>IF('Savings Inputs'!$B$14,352,"")</f>
        <v>352</v>
      </c>
      <c r="B358" s="16">
        <f>IF(A358="","",DATE(YEAR('Savings Inputs'!$B$10),MONTH('Savings Inputs'!$B$10)+A358+1,0))</f>
        <v>57039</v>
      </c>
      <c r="C358" s="17">
        <f t="shared" si="11"/>
        <v>1103000</v>
      </c>
      <c r="D358" s="17">
        <f>IF(A358="","",'Savings Inputs'!$B$8)</f>
        <v>3000</v>
      </c>
      <c r="E358" s="17">
        <f>IF(A358="","",IF(A358='Savings Inputs'!$B$16,'Savings Inputs'!$B$9,0))</f>
        <v>0</v>
      </c>
      <c r="F358" s="17">
        <f t="shared" si="10"/>
        <v>1106000</v>
      </c>
      <c r="G358" s="18">
        <f>IF(A358="","",F358/Dashboard!$B$7)</f>
        <v>7.3733333333333331</v>
      </c>
      <c r="H358" s="15">
        <f>IF(A358="","",IF(F358&gt;=Dashboard!$B$7,1,0))</f>
        <v>1</v>
      </c>
    </row>
    <row r="359" spans="1:8" ht="21" customHeight="1">
      <c r="A359" s="15">
        <f>IF('Savings Inputs'!$B$14,353,"")</f>
        <v>353</v>
      </c>
      <c r="B359" s="16">
        <f>IF(A359="","",DATE(YEAR('Savings Inputs'!$B$10),MONTH('Savings Inputs'!$B$10)+A359+1,0))</f>
        <v>57070</v>
      </c>
      <c r="C359" s="17">
        <f t="shared" si="11"/>
        <v>1106000</v>
      </c>
      <c r="D359" s="17">
        <f>IF(A359="","",'Savings Inputs'!$B$8)</f>
        <v>3000</v>
      </c>
      <c r="E359" s="17">
        <f>IF(A359="","",IF(A359='Savings Inputs'!$B$16,'Savings Inputs'!$B$9,0))</f>
        <v>0</v>
      </c>
      <c r="F359" s="17">
        <f t="shared" si="10"/>
        <v>1109000</v>
      </c>
      <c r="G359" s="18">
        <f>IF(A359="","",F359/Dashboard!$B$7)</f>
        <v>7.3933333333333335</v>
      </c>
      <c r="H359" s="15">
        <f>IF(A359="","",IF(F359&gt;=Dashboard!$B$7,1,0))</f>
        <v>1</v>
      </c>
    </row>
    <row r="360" spans="1:8" ht="21" customHeight="1">
      <c r="A360" s="15">
        <f>IF('Savings Inputs'!$B$14,354,"")</f>
        <v>354</v>
      </c>
      <c r="B360" s="16">
        <f>IF(A360="","",DATE(YEAR('Savings Inputs'!$B$10),MONTH('Savings Inputs'!$B$10)+A360+1,0))</f>
        <v>57100</v>
      </c>
      <c r="C360" s="17">
        <f t="shared" si="11"/>
        <v>1109000</v>
      </c>
      <c r="D360" s="17">
        <f>IF(A360="","",'Savings Inputs'!$B$8)</f>
        <v>3000</v>
      </c>
      <c r="E360" s="17">
        <f>IF(A360="","",IF(A360='Savings Inputs'!$B$16,'Savings Inputs'!$B$9,0))</f>
        <v>0</v>
      </c>
      <c r="F360" s="17">
        <f t="shared" si="10"/>
        <v>1112000</v>
      </c>
      <c r="G360" s="18">
        <f>IF(A360="","",F360/Dashboard!$B$7)</f>
        <v>7.4133333333333331</v>
      </c>
      <c r="H360" s="15">
        <f>IF(A360="","",IF(F360&gt;=Dashboard!$B$7,1,0))</f>
        <v>1</v>
      </c>
    </row>
    <row r="361" spans="1:8" ht="21" customHeight="1">
      <c r="A361" s="15">
        <f>IF('Savings Inputs'!$B$14,355,"")</f>
        <v>355</v>
      </c>
      <c r="B361" s="16">
        <f>IF(A361="","",DATE(YEAR('Savings Inputs'!$B$10),MONTH('Savings Inputs'!$B$10)+A361+1,0))</f>
        <v>57131</v>
      </c>
      <c r="C361" s="17">
        <f t="shared" si="11"/>
        <v>1112000</v>
      </c>
      <c r="D361" s="17">
        <f>IF(A361="","",'Savings Inputs'!$B$8)</f>
        <v>3000</v>
      </c>
      <c r="E361" s="17">
        <f>IF(A361="","",IF(A361='Savings Inputs'!$B$16,'Savings Inputs'!$B$9,0))</f>
        <v>0</v>
      </c>
      <c r="F361" s="17">
        <f t="shared" si="10"/>
        <v>1115000</v>
      </c>
      <c r="G361" s="18">
        <f>IF(A361="","",F361/Dashboard!$B$7)</f>
        <v>7.4333333333333336</v>
      </c>
      <c r="H361" s="15">
        <f>IF(A361="","",IF(F361&gt;=Dashboard!$B$7,1,0))</f>
        <v>1</v>
      </c>
    </row>
    <row r="362" spans="1:8" ht="21" customHeight="1">
      <c r="A362" s="15">
        <f>IF('Savings Inputs'!$B$14,356,"")</f>
        <v>356</v>
      </c>
      <c r="B362" s="16">
        <f>IF(A362="","",DATE(YEAR('Savings Inputs'!$B$10),MONTH('Savings Inputs'!$B$10)+A362+1,0))</f>
        <v>57161</v>
      </c>
      <c r="C362" s="17">
        <f t="shared" si="11"/>
        <v>1115000</v>
      </c>
      <c r="D362" s="17">
        <f>IF(A362="","",'Savings Inputs'!$B$8)</f>
        <v>3000</v>
      </c>
      <c r="E362" s="17">
        <f>IF(A362="","",IF(A362='Savings Inputs'!$B$16,'Savings Inputs'!$B$9,0))</f>
        <v>0</v>
      </c>
      <c r="F362" s="17">
        <f t="shared" si="10"/>
        <v>1118000</v>
      </c>
      <c r="G362" s="18">
        <f>IF(A362="","",F362/Dashboard!$B$7)</f>
        <v>7.4533333333333331</v>
      </c>
      <c r="H362" s="15">
        <f>IF(A362="","",IF(F362&gt;=Dashboard!$B$7,1,0))</f>
        <v>1</v>
      </c>
    </row>
    <row r="363" spans="1:8" ht="21" customHeight="1">
      <c r="A363" s="15">
        <f>IF('Savings Inputs'!$B$14,357,"")</f>
        <v>357</v>
      </c>
      <c r="B363" s="16">
        <f>IF(A363="","",DATE(YEAR('Savings Inputs'!$B$10),MONTH('Savings Inputs'!$B$10)+A363+1,0))</f>
        <v>57192</v>
      </c>
      <c r="C363" s="17">
        <f t="shared" si="11"/>
        <v>1118000</v>
      </c>
      <c r="D363" s="17">
        <f>IF(A363="","",'Savings Inputs'!$B$8)</f>
        <v>3000</v>
      </c>
      <c r="E363" s="17">
        <f>IF(A363="","",IF(A363='Savings Inputs'!$B$16,'Savings Inputs'!$B$9,0))</f>
        <v>0</v>
      </c>
      <c r="F363" s="17">
        <f t="shared" si="10"/>
        <v>1121000</v>
      </c>
      <c r="G363" s="18">
        <f>IF(A363="","",F363/Dashboard!$B$7)</f>
        <v>7.4733333333333336</v>
      </c>
      <c r="H363" s="15">
        <f>IF(A363="","",IF(F363&gt;=Dashboard!$B$7,1,0))</f>
        <v>1</v>
      </c>
    </row>
    <row r="364" spans="1:8" ht="21" customHeight="1">
      <c r="A364" s="15">
        <f>IF('Savings Inputs'!$B$14,358,"")</f>
        <v>358</v>
      </c>
      <c r="B364" s="16">
        <f>IF(A364="","",DATE(YEAR('Savings Inputs'!$B$10),MONTH('Savings Inputs'!$B$10)+A364+1,0))</f>
        <v>57223</v>
      </c>
      <c r="C364" s="17">
        <f t="shared" si="11"/>
        <v>1121000</v>
      </c>
      <c r="D364" s="17">
        <f>IF(A364="","",'Savings Inputs'!$B$8)</f>
        <v>3000</v>
      </c>
      <c r="E364" s="17">
        <f>IF(A364="","",IF(A364='Savings Inputs'!$B$16,'Savings Inputs'!$B$9,0))</f>
        <v>0</v>
      </c>
      <c r="F364" s="17">
        <f t="shared" si="10"/>
        <v>1124000</v>
      </c>
      <c r="G364" s="18">
        <f>IF(A364="","",F364/Dashboard!$B$7)</f>
        <v>7.4933333333333332</v>
      </c>
      <c r="H364" s="15">
        <f>IF(A364="","",IF(F364&gt;=Dashboard!$B$7,1,0))</f>
        <v>1</v>
      </c>
    </row>
    <row r="365" spans="1:8" ht="21" customHeight="1">
      <c r="A365" s="15">
        <f>IF('Savings Inputs'!$B$14,359,"")</f>
        <v>359</v>
      </c>
      <c r="B365" s="16">
        <f>IF(A365="","",DATE(YEAR('Savings Inputs'!$B$10),MONTH('Savings Inputs'!$B$10)+A365+1,0))</f>
        <v>57253</v>
      </c>
      <c r="C365" s="17">
        <f t="shared" si="11"/>
        <v>1124000</v>
      </c>
      <c r="D365" s="17">
        <f>IF(A365="","",'Savings Inputs'!$B$8)</f>
        <v>3000</v>
      </c>
      <c r="E365" s="17">
        <f>IF(A365="","",IF(A365='Savings Inputs'!$B$16,'Savings Inputs'!$B$9,0))</f>
        <v>0</v>
      </c>
      <c r="F365" s="17">
        <f t="shared" si="10"/>
        <v>1127000</v>
      </c>
      <c r="G365" s="18">
        <f>IF(A365="","",F365/Dashboard!$B$7)</f>
        <v>7.5133333333333336</v>
      </c>
      <c r="H365" s="15">
        <f>IF(A365="","",IF(F365&gt;=Dashboard!$B$7,1,0))</f>
        <v>1</v>
      </c>
    </row>
    <row r="366" spans="1:8" ht="21" customHeight="1">
      <c r="A366" s="15">
        <f>IF('Savings Inputs'!$B$14,360,"")</f>
        <v>360</v>
      </c>
      <c r="B366" s="16">
        <f>IF(A366="","",DATE(YEAR('Savings Inputs'!$B$10),MONTH('Savings Inputs'!$B$10)+A366+1,0))</f>
        <v>57284</v>
      </c>
      <c r="C366" s="17">
        <f t="shared" si="11"/>
        <v>1127000</v>
      </c>
      <c r="D366" s="17">
        <f>IF(A366="","",'Savings Inputs'!$B$8)</f>
        <v>3000</v>
      </c>
      <c r="E366" s="17">
        <f>IF(A366="","",IF(A366='Savings Inputs'!$B$16,'Savings Inputs'!$B$9,0))</f>
        <v>0</v>
      </c>
      <c r="F366" s="17">
        <f t="shared" si="10"/>
        <v>1130000</v>
      </c>
      <c r="G366" s="18">
        <f>IF(A366="","",F366/Dashboard!$B$7)</f>
        <v>7.5333333333333332</v>
      </c>
      <c r="H366" s="15">
        <f>IF(A366="","",IF(F366&gt;=Dashboard!$B$7,1,0))</f>
        <v>1</v>
      </c>
    </row>
    <row r="367" spans="1:8" ht="21" customHeight="1">
      <c r="A367" s="15">
        <f>IF('Savings Inputs'!$B$14,361,"")</f>
        <v>361</v>
      </c>
      <c r="B367" s="16">
        <f>IF(A367="","",DATE(YEAR('Savings Inputs'!$B$10),MONTH('Savings Inputs'!$B$10)+A367+1,0))</f>
        <v>57314</v>
      </c>
      <c r="C367" s="17">
        <f t="shared" si="11"/>
        <v>1130000</v>
      </c>
      <c r="D367" s="17">
        <f>IF(A367="","",'Savings Inputs'!$B$8)</f>
        <v>3000</v>
      </c>
      <c r="E367" s="17">
        <f>IF(A367="","",IF(A367='Savings Inputs'!$B$16,'Savings Inputs'!$B$9,0))</f>
        <v>0</v>
      </c>
      <c r="F367" s="17">
        <f t="shared" si="10"/>
        <v>1133000</v>
      </c>
      <c r="G367" s="18">
        <f>IF(A367="","",F367/Dashboard!$B$7)</f>
        <v>7.5533333333333337</v>
      </c>
      <c r="H367" s="15">
        <f>IF(A367="","",IF(F367&gt;=Dashboard!$B$7,1,0))</f>
        <v>1</v>
      </c>
    </row>
    <row r="368" spans="1:8" ht="21" customHeight="1">
      <c r="A368" s="15">
        <f>IF('Savings Inputs'!$B$14,362,"")</f>
        <v>362</v>
      </c>
      <c r="B368" s="16">
        <f>IF(A368="","",DATE(YEAR('Savings Inputs'!$B$10),MONTH('Savings Inputs'!$B$10)+A368+1,0))</f>
        <v>57345</v>
      </c>
      <c r="C368" s="17">
        <f t="shared" si="11"/>
        <v>1133000</v>
      </c>
      <c r="D368" s="17">
        <f>IF(A368="","",'Savings Inputs'!$B$8)</f>
        <v>3000</v>
      </c>
      <c r="E368" s="17">
        <f>IF(A368="","",IF(A368='Savings Inputs'!$B$16,'Savings Inputs'!$B$9,0))</f>
        <v>0</v>
      </c>
      <c r="F368" s="17">
        <f t="shared" si="10"/>
        <v>1136000</v>
      </c>
      <c r="G368" s="18">
        <f>IF(A368="","",F368/Dashboard!$B$7)</f>
        <v>7.5733333333333333</v>
      </c>
      <c r="H368" s="15">
        <f>IF(A368="","",IF(F368&gt;=Dashboard!$B$7,1,0))</f>
        <v>1</v>
      </c>
    </row>
    <row r="369" spans="1:8" ht="21" customHeight="1">
      <c r="A369" s="15">
        <f>IF('Savings Inputs'!$B$14,363,"")</f>
        <v>363</v>
      </c>
      <c r="B369" s="16">
        <f>IF(A369="","",DATE(YEAR('Savings Inputs'!$B$10),MONTH('Savings Inputs'!$B$10)+A369+1,0))</f>
        <v>57376</v>
      </c>
      <c r="C369" s="17">
        <f t="shared" si="11"/>
        <v>1136000</v>
      </c>
      <c r="D369" s="17">
        <f>IF(A369="","",'Savings Inputs'!$B$8)</f>
        <v>3000</v>
      </c>
      <c r="E369" s="17">
        <f>IF(A369="","",IF(A369='Savings Inputs'!$B$16,'Savings Inputs'!$B$9,0))</f>
        <v>0</v>
      </c>
      <c r="F369" s="17">
        <f t="shared" si="10"/>
        <v>1139000</v>
      </c>
      <c r="G369" s="18">
        <f>IF(A369="","",F369/Dashboard!$B$7)</f>
        <v>7.5933333333333337</v>
      </c>
      <c r="H369" s="15">
        <f>IF(A369="","",IF(F369&gt;=Dashboard!$B$7,1,0))</f>
        <v>1</v>
      </c>
    </row>
    <row r="370" spans="1:8" ht="21" customHeight="1">
      <c r="A370" s="15">
        <f>IF('Savings Inputs'!$B$14,364,"")</f>
        <v>364</v>
      </c>
      <c r="B370" s="16">
        <f>IF(A370="","",DATE(YEAR('Savings Inputs'!$B$10),MONTH('Savings Inputs'!$B$10)+A370+1,0))</f>
        <v>57404</v>
      </c>
      <c r="C370" s="17">
        <f t="shared" si="11"/>
        <v>1139000</v>
      </c>
      <c r="D370" s="17">
        <f>IF(A370="","",'Savings Inputs'!$B$8)</f>
        <v>3000</v>
      </c>
      <c r="E370" s="17">
        <f>IF(A370="","",IF(A370='Savings Inputs'!$B$16,'Savings Inputs'!$B$9,0))</f>
        <v>0</v>
      </c>
      <c r="F370" s="17">
        <f t="shared" si="10"/>
        <v>1142000</v>
      </c>
      <c r="G370" s="18">
        <f>IF(A370="","",F370/Dashboard!$B$7)</f>
        <v>7.6133333333333333</v>
      </c>
      <c r="H370" s="15">
        <f>IF(A370="","",IF(F370&gt;=Dashboard!$B$7,1,0))</f>
        <v>1</v>
      </c>
    </row>
    <row r="371" spans="1:8" ht="21" customHeight="1">
      <c r="A371" s="15">
        <f>IF('Savings Inputs'!$B$14,365,"")</f>
        <v>365</v>
      </c>
      <c r="B371" s="16">
        <f>IF(A371="","",DATE(YEAR('Savings Inputs'!$B$10),MONTH('Savings Inputs'!$B$10)+A371+1,0))</f>
        <v>57435</v>
      </c>
      <c r="C371" s="17">
        <f t="shared" si="11"/>
        <v>1142000</v>
      </c>
      <c r="D371" s="17">
        <f>IF(A371="","",'Savings Inputs'!$B$8)</f>
        <v>3000</v>
      </c>
      <c r="E371" s="17">
        <f>IF(A371="","",IF(A371='Savings Inputs'!$B$16,'Savings Inputs'!$B$9,0))</f>
        <v>0</v>
      </c>
      <c r="F371" s="17">
        <f t="shared" si="10"/>
        <v>1145000</v>
      </c>
      <c r="G371" s="18">
        <f>IF(A371="","",F371/Dashboard!$B$7)</f>
        <v>7.6333333333333337</v>
      </c>
      <c r="H371" s="15">
        <f>IF(A371="","",IF(F371&gt;=Dashboard!$B$7,1,0))</f>
        <v>1</v>
      </c>
    </row>
    <row r="372" spans="1:8" ht="21" customHeight="1">
      <c r="A372" s="15">
        <f>IF('Savings Inputs'!$B$14,366,"")</f>
        <v>366</v>
      </c>
      <c r="B372" s="16">
        <f>IF(A372="","",DATE(YEAR('Savings Inputs'!$B$10),MONTH('Savings Inputs'!$B$10)+A372+1,0))</f>
        <v>57465</v>
      </c>
      <c r="C372" s="17">
        <f t="shared" si="11"/>
        <v>1145000</v>
      </c>
      <c r="D372" s="17">
        <f>IF(A372="","",'Savings Inputs'!$B$8)</f>
        <v>3000</v>
      </c>
      <c r="E372" s="17">
        <f>IF(A372="","",IF(A372='Savings Inputs'!$B$16,'Savings Inputs'!$B$9,0))</f>
        <v>0</v>
      </c>
      <c r="F372" s="17">
        <f t="shared" si="10"/>
        <v>1148000</v>
      </c>
      <c r="G372" s="18">
        <f>IF(A372="","",F372/Dashboard!$B$7)</f>
        <v>7.6533333333333333</v>
      </c>
      <c r="H372" s="15">
        <f>IF(A372="","",IF(F372&gt;=Dashboard!$B$7,1,0))</f>
        <v>1</v>
      </c>
    </row>
    <row r="373" spans="1:8" ht="21" customHeight="1">
      <c r="A373" s="15">
        <f>IF('Savings Inputs'!$B$14,367,"")</f>
        <v>367</v>
      </c>
      <c r="B373" s="16">
        <f>IF(A373="","",DATE(YEAR('Savings Inputs'!$B$10),MONTH('Savings Inputs'!$B$10)+A373+1,0))</f>
        <v>57496</v>
      </c>
      <c r="C373" s="17">
        <f t="shared" si="11"/>
        <v>1148000</v>
      </c>
      <c r="D373" s="17">
        <f>IF(A373="","",'Savings Inputs'!$B$8)</f>
        <v>3000</v>
      </c>
      <c r="E373" s="17">
        <f>IF(A373="","",IF(A373='Savings Inputs'!$B$16,'Savings Inputs'!$B$9,0))</f>
        <v>0</v>
      </c>
      <c r="F373" s="17">
        <f t="shared" si="10"/>
        <v>1151000</v>
      </c>
      <c r="G373" s="18">
        <f>IF(A373="","",F373/Dashboard!$B$7)</f>
        <v>7.6733333333333329</v>
      </c>
      <c r="H373" s="15">
        <f>IF(A373="","",IF(F373&gt;=Dashboard!$B$7,1,0))</f>
        <v>1</v>
      </c>
    </row>
    <row r="374" spans="1:8" ht="21" customHeight="1">
      <c r="A374" s="15">
        <f>IF('Savings Inputs'!$B$14,368,"")</f>
        <v>368</v>
      </c>
      <c r="B374" s="16">
        <f>IF(A374="","",DATE(YEAR('Savings Inputs'!$B$10),MONTH('Savings Inputs'!$B$10)+A374+1,0))</f>
        <v>57526</v>
      </c>
      <c r="C374" s="17">
        <f t="shared" si="11"/>
        <v>1151000</v>
      </c>
      <c r="D374" s="17">
        <f>IF(A374="","",'Savings Inputs'!$B$8)</f>
        <v>3000</v>
      </c>
      <c r="E374" s="17">
        <f>IF(A374="","",IF(A374='Savings Inputs'!$B$16,'Savings Inputs'!$B$9,0))</f>
        <v>0</v>
      </c>
      <c r="F374" s="17">
        <f t="shared" si="10"/>
        <v>1154000</v>
      </c>
      <c r="G374" s="18">
        <f>IF(A374="","",F374/Dashboard!$B$7)</f>
        <v>7.6933333333333334</v>
      </c>
      <c r="H374" s="15">
        <f>IF(A374="","",IF(F374&gt;=Dashboard!$B$7,1,0))</f>
        <v>1</v>
      </c>
    </row>
    <row r="375" spans="1:8" ht="21" customHeight="1">
      <c r="A375" s="15">
        <f>IF('Savings Inputs'!$B$14,369,"")</f>
        <v>369</v>
      </c>
      <c r="B375" s="16">
        <f>IF(A375="","",DATE(YEAR('Savings Inputs'!$B$10),MONTH('Savings Inputs'!$B$10)+A375+1,0))</f>
        <v>57557</v>
      </c>
      <c r="C375" s="17">
        <f t="shared" si="11"/>
        <v>1154000</v>
      </c>
      <c r="D375" s="17">
        <f>IF(A375="","",'Savings Inputs'!$B$8)</f>
        <v>3000</v>
      </c>
      <c r="E375" s="17">
        <f>IF(A375="","",IF(A375='Savings Inputs'!$B$16,'Savings Inputs'!$B$9,0))</f>
        <v>0</v>
      </c>
      <c r="F375" s="17">
        <f t="shared" si="10"/>
        <v>1157000</v>
      </c>
      <c r="G375" s="18">
        <f>IF(A375="","",F375/Dashboard!$B$7)</f>
        <v>7.7133333333333329</v>
      </c>
      <c r="H375" s="15">
        <f>IF(A375="","",IF(F375&gt;=Dashboard!$B$7,1,0))</f>
        <v>1</v>
      </c>
    </row>
    <row r="376" spans="1:8" ht="21" customHeight="1">
      <c r="A376" s="15">
        <f>IF('Savings Inputs'!$B$14,370,"")</f>
        <v>370</v>
      </c>
      <c r="B376" s="16">
        <f>IF(A376="","",DATE(YEAR('Savings Inputs'!$B$10),MONTH('Savings Inputs'!$B$10)+A376+1,0))</f>
        <v>57588</v>
      </c>
      <c r="C376" s="17">
        <f t="shared" si="11"/>
        <v>1157000</v>
      </c>
      <c r="D376" s="17">
        <f>IF(A376="","",'Savings Inputs'!$B$8)</f>
        <v>3000</v>
      </c>
      <c r="E376" s="17">
        <f>IF(A376="","",IF(A376='Savings Inputs'!$B$16,'Savings Inputs'!$B$9,0))</f>
        <v>0</v>
      </c>
      <c r="F376" s="17">
        <f t="shared" si="10"/>
        <v>1160000</v>
      </c>
      <c r="G376" s="18">
        <f>IF(A376="","",F376/Dashboard!$B$7)</f>
        <v>7.7333333333333334</v>
      </c>
      <c r="H376" s="15">
        <f>IF(A376="","",IF(F376&gt;=Dashboard!$B$7,1,0))</f>
        <v>1</v>
      </c>
    </row>
    <row r="377" spans="1:8" ht="21" customHeight="1">
      <c r="A377" s="15">
        <f>IF('Savings Inputs'!$B$14,371,"")</f>
        <v>371</v>
      </c>
      <c r="B377" s="16">
        <f>IF(A377="","",DATE(YEAR('Savings Inputs'!$B$10),MONTH('Savings Inputs'!$B$10)+A377+1,0))</f>
        <v>57618</v>
      </c>
      <c r="C377" s="17">
        <f t="shared" si="11"/>
        <v>1160000</v>
      </c>
      <c r="D377" s="17">
        <f>IF(A377="","",'Savings Inputs'!$B$8)</f>
        <v>3000</v>
      </c>
      <c r="E377" s="17">
        <f>IF(A377="","",IF(A377='Savings Inputs'!$B$16,'Savings Inputs'!$B$9,0))</f>
        <v>0</v>
      </c>
      <c r="F377" s="17">
        <f t="shared" si="10"/>
        <v>1163000</v>
      </c>
      <c r="G377" s="18">
        <f>IF(A377="","",F377/Dashboard!$B$7)</f>
        <v>7.753333333333333</v>
      </c>
      <c r="H377" s="15">
        <f>IF(A377="","",IF(F377&gt;=Dashboard!$B$7,1,0))</f>
        <v>1</v>
      </c>
    </row>
    <row r="378" spans="1:8" ht="21" customHeight="1">
      <c r="A378" s="15">
        <f>IF('Savings Inputs'!$B$14,372,"")</f>
        <v>372</v>
      </c>
      <c r="B378" s="16">
        <f>IF(A378="","",DATE(YEAR('Savings Inputs'!$B$10),MONTH('Savings Inputs'!$B$10)+A378+1,0))</f>
        <v>57649</v>
      </c>
      <c r="C378" s="17">
        <f t="shared" si="11"/>
        <v>1163000</v>
      </c>
      <c r="D378" s="17">
        <f>IF(A378="","",'Savings Inputs'!$B$8)</f>
        <v>3000</v>
      </c>
      <c r="E378" s="17">
        <f>IF(A378="","",IF(A378='Savings Inputs'!$B$16,'Savings Inputs'!$B$9,0))</f>
        <v>0</v>
      </c>
      <c r="F378" s="17">
        <f t="shared" si="10"/>
        <v>1166000</v>
      </c>
      <c r="G378" s="18">
        <f>IF(A378="","",F378/Dashboard!$B$7)</f>
        <v>7.7733333333333334</v>
      </c>
      <c r="H378" s="15">
        <f>IF(A378="","",IF(F378&gt;=Dashboard!$B$7,1,0))</f>
        <v>1</v>
      </c>
    </row>
    <row r="379" spans="1:8" ht="21" customHeight="1">
      <c r="A379" s="15">
        <f>IF('Savings Inputs'!$B$14,373,"")</f>
        <v>373</v>
      </c>
      <c r="B379" s="16">
        <f>IF(A379="","",DATE(YEAR('Savings Inputs'!$B$10),MONTH('Savings Inputs'!$B$10)+A379+1,0))</f>
        <v>57679</v>
      </c>
      <c r="C379" s="17">
        <f t="shared" si="11"/>
        <v>1166000</v>
      </c>
      <c r="D379" s="17">
        <f>IF(A379="","",'Savings Inputs'!$B$8)</f>
        <v>3000</v>
      </c>
      <c r="E379" s="17">
        <f>IF(A379="","",IF(A379='Savings Inputs'!$B$16,'Savings Inputs'!$B$9,0))</f>
        <v>0</v>
      </c>
      <c r="F379" s="17">
        <f t="shared" si="10"/>
        <v>1169000</v>
      </c>
      <c r="G379" s="18">
        <f>IF(A379="","",F379/Dashboard!$B$7)</f>
        <v>7.793333333333333</v>
      </c>
      <c r="H379" s="15">
        <f>IF(A379="","",IF(F379&gt;=Dashboard!$B$7,1,0))</f>
        <v>1</v>
      </c>
    </row>
    <row r="380" spans="1:8" ht="21" customHeight="1">
      <c r="A380" s="15">
        <f>IF('Savings Inputs'!$B$14,374,"")</f>
        <v>374</v>
      </c>
      <c r="B380" s="16">
        <f>IF(A380="","",DATE(YEAR('Savings Inputs'!$B$10),MONTH('Savings Inputs'!$B$10)+A380+1,0))</f>
        <v>57710</v>
      </c>
      <c r="C380" s="17">
        <f t="shared" si="11"/>
        <v>1169000</v>
      </c>
      <c r="D380" s="17">
        <f>IF(A380="","",'Savings Inputs'!$B$8)</f>
        <v>3000</v>
      </c>
      <c r="E380" s="17">
        <f>IF(A380="","",IF(A380='Savings Inputs'!$B$16,'Savings Inputs'!$B$9,0))</f>
        <v>0</v>
      </c>
      <c r="F380" s="17">
        <f t="shared" si="10"/>
        <v>1172000</v>
      </c>
      <c r="G380" s="18">
        <f>IF(A380="","",F380/Dashboard!$B$7)</f>
        <v>7.8133333333333335</v>
      </c>
      <c r="H380" s="15">
        <f>IF(A380="","",IF(F380&gt;=Dashboard!$B$7,1,0))</f>
        <v>1</v>
      </c>
    </row>
    <row r="381" spans="1:8" ht="21" customHeight="1">
      <c r="A381" s="15">
        <f>IF('Savings Inputs'!$B$14,375,"")</f>
        <v>375</v>
      </c>
      <c r="B381" s="16">
        <f>IF(A381="","",DATE(YEAR('Savings Inputs'!$B$10),MONTH('Savings Inputs'!$B$10)+A381+1,0))</f>
        <v>57741</v>
      </c>
      <c r="C381" s="17">
        <f t="shared" si="11"/>
        <v>1172000</v>
      </c>
      <c r="D381" s="17">
        <f>IF(A381="","",'Savings Inputs'!$B$8)</f>
        <v>3000</v>
      </c>
      <c r="E381" s="17">
        <f>IF(A381="","",IF(A381='Savings Inputs'!$B$16,'Savings Inputs'!$B$9,0))</f>
        <v>0</v>
      </c>
      <c r="F381" s="17">
        <f t="shared" si="10"/>
        <v>1175000</v>
      </c>
      <c r="G381" s="18">
        <f>IF(A381="","",F381/Dashboard!$B$7)</f>
        <v>7.833333333333333</v>
      </c>
      <c r="H381" s="15">
        <f>IF(A381="","",IF(F381&gt;=Dashboard!$B$7,1,0))</f>
        <v>1</v>
      </c>
    </row>
    <row r="382" spans="1:8" ht="21" customHeight="1">
      <c r="A382" s="15">
        <f>IF('Savings Inputs'!$B$14,376,"")</f>
        <v>376</v>
      </c>
      <c r="B382" s="16">
        <f>IF(A382="","",DATE(YEAR('Savings Inputs'!$B$10),MONTH('Savings Inputs'!$B$10)+A382+1,0))</f>
        <v>57769</v>
      </c>
      <c r="C382" s="17">
        <f t="shared" si="11"/>
        <v>1175000</v>
      </c>
      <c r="D382" s="17">
        <f>IF(A382="","",'Savings Inputs'!$B$8)</f>
        <v>3000</v>
      </c>
      <c r="E382" s="17">
        <f>IF(A382="","",IF(A382='Savings Inputs'!$B$16,'Savings Inputs'!$B$9,0))</f>
        <v>0</v>
      </c>
      <c r="F382" s="17">
        <f t="shared" si="10"/>
        <v>1178000</v>
      </c>
      <c r="G382" s="18">
        <f>IF(A382="","",F382/Dashboard!$B$7)</f>
        <v>7.8533333333333335</v>
      </c>
      <c r="H382" s="15">
        <f>IF(A382="","",IF(F382&gt;=Dashboard!$B$7,1,0))</f>
        <v>1</v>
      </c>
    </row>
    <row r="383" spans="1:8" ht="21" customHeight="1">
      <c r="A383" s="15">
        <f>IF('Savings Inputs'!$B$14,377,"")</f>
        <v>377</v>
      </c>
      <c r="B383" s="16">
        <f>IF(A383="","",DATE(YEAR('Savings Inputs'!$B$10),MONTH('Savings Inputs'!$B$10)+A383+1,0))</f>
        <v>57800</v>
      </c>
      <c r="C383" s="17">
        <f t="shared" si="11"/>
        <v>1178000</v>
      </c>
      <c r="D383" s="17">
        <f>IF(A383="","",'Savings Inputs'!$B$8)</f>
        <v>3000</v>
      </c>
      <c r="E383" s="17">
        <f>IF(A383="","",IF(A383='Savings Inputs'!$B$16,'Savings Inputs'!$B$9,0))</f>
        <v>0</v>
      </c>
      <c r="F383" s="17">
        <f t="shared" si="10"/>
        <v>1181000</v>
      </c>
      <c r="G383" s="18">
        <f>IF(A383="","",F383/Dashboard!$B$7)</f>
        <v>7.8733333333333331</v>
      </c>
      <c r="H383" s="15">
        <f>IF(A383="","",IF(F383&gt;=Dashboard!$B$7,1,0))</f>
        <v>1</v>
      </c>
    </row>
    <row r="384" spans="1:8" ht="21" customHeight="1">
      <c r="A384" s="15">
        <f>IF('Savings Inputs'!$B$14,378,"")</f>
        <v>378</v>
      </c>
      <c r="B384" s="16">
        <f>IF(A384="","",DATE(YEAR('Savings Inputs'!$B$10),MONTH('Savings Inputs'!$B$10)+A384+1,0))</f>
        <v>57830</v>
      </c>
      <c r="C384" s="17">
        <f t="shared" si="11"/>
        <v>1181000</v>
      </c>
      <c r="D384" s="17">
        <f>IF(A384="","",'Savings Inputs'!$B$8)</f>
        <v>3000</v>
      </c>
      <c r="E384" s="17">
        <f>IF(A384="","",IF(A384='Savings Inputs'!$B$16,'Savings Inputs'!$B$9,0))</f>
        <v>0</v>
      </c>
      <c r="F384" s="17">
        <f t="shared" si="10"/>
        <v>1184000</v>
      </c>
      <c r="G384" s="18">
        <f>IF(A384="","",F384/Dashboard!$B$7)</f>
        <v>7.8933333333333335</v>
      </c>
      <c r="H384" s="15">
        <f>IF(A384="","",IF(F384&gt;=Dashboard!$B$7,1,0))</f>
        <v>1</v>
      </c>
    </row>
    <row r="385" spans="1:8" ht="21" customHeight="1">
      <c r="A385" s="15">
        <f>IF('Savings Inputs'!$B$14,379,"")</f>
        <v>379</v>
      </c>
      <c r="B385" s="16">
        <f>IF(A385="","",DATE(YEAR('Savings Inputs'!$B$10),MONTH('Savings Inputs'!$B$10)+A385+1,0))</f>
        <v>57861</v>
      </c>
      <c r="C385" s="17">
        <f t="shared" si="11"/>
        <v>1184000</v>
      </c>
      <c r="D385" s="17">
        <f>IF(A385="","",'Savings Inputs'!$B$8)</f>
        <v>3000</v>
      </c>
      <c r="E385" s="17">
        <f>IF(A385="","",IF(A385='Savings Inputs'!$B$16,'Savings Inputs'!$B$9,0))</f>
        <v>0</v>
      </c>
      <c r="F385" s="17">
        <f t="shared" si="10"/>
        <v>1187000</v>
      </c>
      <c r="G385" s="18">
        <f>IF(A385="","",F385/Dashboard!$B$7)</f>
        <v>7.9133333333333331</v>
      </c>
      <c r="H385" s="15">
        <f>IF(A385="","",IF(F385&gt;=Dashboard!$B$7,1,0))</f>
        <v>1</v>
      </c>
    </row>
    <row r="386" spans="1:8" ht="21" customHeight="1">
      <c r="A386" s="15">
        <f>IF('Savings Inputs'!$B$14,380,"")</f>
        <v>380</v>
      </c>
      <c r="B386" s="16">
        <f>IF(A386="","",DATE(YEAR('Savings Inputs'!$B$10),MONTH('Savings Inputs'!$B$10)+A386+1,0))</f>
        <v>57891</v>
      </c>
      <c r="C386" s="17">
        <f t="shared" si="11"/>
        <v>1187000</v>
      </c>
      <c r="D386" s="17">
        <f>IF(A386="","",'Savings Inputs'!$B$8)</f>
        <v>3000</v>
      </c>
      <c r="E386" s="17">
        <f>IF(A386="","",IF(A386='Savings Inputs'!$B$16,'Savings Inputs'!$B$9,0))</f>
        <v>0</v>
      </c>
      <c r="F386" s="17">
        <f t="shared" si="10"/>
        <v>1190000</v>
      </c>
      <c r="G386" s="18">
        <f>IF(A386="","",F386/Dashboard!$B$7)</f>
        <v>7.9333333333333336</v>
      </c>
      <c r="H386" s="15">
        <f>IF(A386="","",IF(F386&gt;=Dashboard!$B$7,1,0))</f>
        <v>1</v>
      </c>
    </row>
    <row r="387" spans="1:8" ht="21" customHeight="1">
      <c r="A387" s="15">
        <f>IF('Savings Inputs'!$B$14,381,"")</f>
        <v>381</v>
      </c>
      <c r="B387" s="16">
        <f>IF(A387="","",DATE(YEAR('Savings Inputs'!$B$10),MONTH('Savings Inputs'!$B$10)+A387+1,0))</f>
        <v>57922</v>
      </c>
      <c r="C387" s="17">
        <f t="shared" si="11"/>
        <v>1190000</v>
      </c>
      <c r="D387" s="17">
        <f>IF(A387="","",'Savings Inputs'!$B$8)</f>
        <v>3000</v>
      </c>
      <c r="E387" s="17">
        <f>IF(A387="","",IF(A387='Savings Inputs'!$B$16,'Savings Inputs'!$B$9,0))</f>
        <v>0</v>
      </c>
      <c r="F387" s="17">
        <f t="shared" si="10"/>
        <v>1193000</v>
      </c>
      <c r="G387" s="18">
        <f>IF(A387="","",F387/Dashboard!$B$7)</f>
        <v>7.9533333333333331</v>
      </c>
      <c r="H387" s="15">
        <f>IF(A387="","",IF(F387&gt;=Dashboard!$B$7,1,0))</f>
        <v>1</v>
      </c>
    </row>
    <row r="388" spans="1:8" ht="21" customHeight="1">
      <c r="A388" s="15">
        <f>IF('Savings Inputs'!$B$14,382,"")</f>
        <v>382</v>
      </c>
      <c r="B388" s="16">
        <f>IF(A388="","",DATE(YEAR('Savings Inputs'!$B$10),MONTH('Savings Inputs'!$B$10)+A388+1,0))</f>
        <v>57953</v>
      </c>
      <c r="C388" s="17">
        <f t="shared" si="11"/>
        <v>1193000</v>
      </c>
      <c r="D388" s="17">
        <f>IF(A388="","",'Savings Inputs'!$B$8)</f>
        <v>3000</v>
      </c>
      <c r="E388" s="17">
        <f>IF(A388="","",IF(A388='Savings Inputs'!$B$16,'Savings Inputs'!$B$9,0))</f>
        <v>0</v>
      </c>
      <c r="F388" s="17">
        <f t="shared" si="10"/>
        <v>1196000</v>
      </c>
      <c r="G388" s="18">
        <f>IF(A388="","",F388/Dashboard!$B$7)</f>
        <v>7.9733333333333336</v>
      </c>
      <c r="H388" s="15">
        <f>IF(A388="","",IF(F388&gt;=Dashboard!$B$7,1,0))</f>
        <v>1</v>
      </c>
    </row>
    <row r="389" spans="1:8" ht="21" customHeight="1">
      <c r="A389" s="15">
        <f>IF('Savings Inputs'!$B$14,383,"")</f>
        <v>383</v>
      </c>
      <c r="B389" s="16">
        <f>IF(A389="","",DATE(YEAR('Savings Inputs'!$B$10),MONTH('Savings Inputs'!$B$10)+A389+1,0))</f>
        <v>57983</v>
      </c>
      <c r="C389" s="17">
        <f t="shared" si="11"/>
        <v>1196000</v>
      </c>
      <c r="D389" s="17">
        <f>IF(A389="","",'Savings Inputs'!$B$8)</f>
        <v>3000</v>
      </c>
      <c r="E389" s="17">
        <f>IF(A389="","",IF(A389='Savings Inputs'!$B$16,'Savings Inputs'!$B$9,0))</f>
        <v>0</v>
      </c>
      <c r="F389" s="17">
        <f t="shared" si="10"/>
        <v>1199000</v>
      </c>
      <c r="G389" s="18">
        <f>IF(A389="","",F389/Dashboard!$B$7)</f>
        <v>7.9933333333333332</v>
      </c>
      <c r="H389" s="15">
        <f>IF(A389="","",IF(F389&gt;=Dashboard!$B$7,1,0))</f>
        <v>1</v>
      </c>
    </row>
    <row r="390" spans="1:8" ht="21" customHeight="1">
      <c r="A390" s="15">
        <f>IF('Savings Inputs'!$B$14,384,"")</f>
        <v>384</v>
      </c>
      <c r="B390" s="16">
        <f>IF(A390="","",DATE(YEAR('Savings Inputs'!$B$10),MONTH('Savings Inputs'!$B$10)+A390+1,0))</f>
        <v>58014</v>
      </c>
      <c r="C390" s="17">
        <f t="shared" si="11"/>
        <v>1199000</v>
      </c>
      <c r="D390" s="17">
        <f>IF(A390="","",'Savings Inputs'!$B$8)</f>
        <v>3000</v>
      </c>
      <c r="E390" s="17">
        <f>IF(A390="","",IF(A390='Savings Inputs'!$B$16,'Savings Inputs'!$B$9,0))</f>
        <v>0</v>
      </c>
      <c r="F390" s="17">
        <f t="shared" si="10"/>
        <v>1202000</v>
      </c>
      <c r="G390" s="18">
        <f>IF(A390="","",F390/Dashboard!$B$7)</f>
        <v>8.0133333333333336</v>
      </c>
      <c r="H390" s="15">
        <f>IF(A390="","",IF(F390&gt;=Dashboard!$B$7,1,0))</f>
        <v>1</v>
      </c>
    </row>
    <row r="391" spans="1:8" ht="21" customHeight="1">
      <c r="A391" s="15">
        <f>IF('Savings Inputs'!$B$14,385,"")</f>
        <v>385</v>
      </c>
      <c r="B391" s="16">
        <f>IF(A391="","",DATE(YEAR('Savings Inputs'!$B$10),MONTH('Savings Inputs'!$B$10)+A391+1,0))</f>
        <v>58044</v>
      </c>
      <c r="C391" s="17">
        <f t="shared" si="11"/>
        <v>1202000</v>
      </c>
      <c r="D391" s="17">
        <f>IF(A391="","",'Savings Inputs'!$B$8)</f>
        <v>3000</v>
      </c>
      <c r="E391" s="17">
        <f>IF(A391="","",IF(A391='Savings Inputs'!$B$16,'Savings Inputs'!$B$9,0))</f>
        <v>0</v>
      </c>
      <c r="F391" s="17">
        <f t="shared" ref="F391:F454" si="12">IF(A391="","",SUM(C391:E391))</f>
        <v>1205000</v>
      </c>
      <c r="G391" s="18">
        <f>IF(A391="","",F391/Dashboard!$B$7)</f>
        <v>8.0333333333333332</v>
      </c>
      <c r="H391" s="15">
        <f>IF(A391="","",IF(F391&gt;=Dashboard!$B$7,1,0))</f>
        <v>1</v>
      </c>
    </row>
    <row r="392" spans="1:8" ht="21" customHeight="1">
      <c r="A392" s="15">
        <f>IF('Savings Inputs'!$B$14,386,"")</f>
        <v>386</v>
      </c>
      <c r="B392" s="16">
        <f>IF(A392="","",DATE(YEAR('Savings Inputs'!$B$10),MONTH('Savings Inputs'!$B$10)+A392+1,0))</f>
        <v>58075</v>
      </c>
      <c r="C392" s="17">
        <f t="shared" ref="C392:C455" si="13">IF(A392="","",F391)</f>
        <v>1205000</v>
      </c>
      <c r="D392" s="17">
        <f>IF(A392="","",'Savings Inputs'!$B$8)</f>
        <v>3000</v>
      </c>
      <c r="E392" s="17">
        <f>IF(A392="","",IF(A392='Savings Inputs'!$B$16,'Savings Inputs'!$B$9,0))</f>
        <v>0</v>
      </c>
      <c r="F392" s="17">
        <f t="shared" si="12"/>
        <v>1208000</v>
      </c>
      <c r="G392" s="18">
        <f>IF(A392="","",F392/Dashboard!$B$7)</f>
        <v>8.0533333333333328</v>
      </c>
      <c r="H392" s="15">
        <f>IF(A392="","",IF(F392&gt;=Dashboard!$B$7,1,0))</f>
        <v>1</v>
      </c>
    </row>
    <row r="393" spans="1:8" ht="21" customHeight="1">
      <c r="A393" s="15">
        <f>IF('Savings Inputs'!$B$14,387,"")</f>
        <v>387</v>
      </c>
      <c r="B393" s="16">
        <f>IF(A393="","",DATE(YEAR('Savings Inputs'!$B$10),MONTH('Savings Inputs'!$B$10)+A393+1,0))</f>
        <v>58106</v>
      </c>
      <c r="C393" s="17">
        <f t="shared" si="13"/>
        <v>1208000</v>
      </c>
      <c r="D393" s="17">
        <f>IF(A393="","",'Savings Inputs'!$B$8)</f>
        <v>3000</v>
      </c>
      <c r="E393" s="17">
        <f>IF(A393="","",IF(A393='Savings Inputs'!$B$16,'Savings Inputs'!$B$9,0))</f>
        <v>0</v>
      </c>
      <c r="F393" s="17">
        <f t="shared" si="12"/>
        <v>1211000</v>
      </c>
      <c r="G393" s="18">
        <f>IF(A393="","",F393/Dashboard!$B$7)</f>
        <v>8.0733333333333341</v>
      </c>
      <c r="H393" s="15">
        <f>IF(A393="","",IF(F393&gt;=Dashboard!$B$7,1,0))</f>
        <v>1</v>
      </c>
    </row>
    <row r="394" spans="1:8" ht="21" customHeight="1">
      <c r="A394" s="15">
        <f>IF('Savings Inputs'!$B$14,388,"")</f>
        <v>388</v>
      </c>
      <c r="B394" s="16">
        <f>IF(A394="","",DATE(YEAR('Savings Inputs'!$B$10),MONTH('Savings Inputs'!$B$10)+A394+1,0))</f>
        <v>58134</v>
      </c>
      <c r="C394" s="17">
        <f t="shared" si="13"/>
        <v>1211000</v>
      </c>
      <c r="D394" s="17">
        <f>IF(A394="","",'Savings Inputs'!$B$8)</f>
        <v>3000</v>
      </c>
      <c r="E394" s="17">
        <f>IF(A394="","",IF(A394='Savings Inputs'!$B$16,'Savings Inputs'!$B$9,0))</f>
        <v>0</v>
      </c>
      <c r="F394" s="17">
        <f t="shared" si="12"/>
        <v>1214000</v>
      </c>
      <c r="G394" s="18">
        <f>IF(A394="","",F394/Dashboard!$B$7)</f>
        <v>8.0933333333333337</v>
      </c>
      <c r="H394" s="15">
        <f>IF(A394="","",IF(F394&gt;=Dashboard!$B$7,1,0))</f>
        <v>1</v>
      </c>
    </row>
    <row r="395" spans="1:8" ht="21" customHeight="1">
      <c r="A395" s="15">
        <f>IF('Savings Inputs'!$B$14,389,"")</f>
        <v>389</v>
      </c>
      <c r="B395" s="16">
        <f>IF(A395="","",DATE(YEAR('Savings Inputs'!$B$10),MONTH('Savings Inputs'!$B$10)+A395+1,0))</f>
        <v>58165</v>
      </c>
      <c r="C395" s="17">
        <f t="shared" si="13"/>
        <v>1214000</v>
      </c>
      <c r="D395" s="17">
        <f>IF(A395="","",'Savings Inputs'!$B$8)</f>
        <v>3000</v>
      </c>
      <c r="E395" s="17">
        <f>IF(A395="","",IF(A395='Savings Inputs'!$B$16,'Savings Inputs'!$B$9,0))</f>
        <v>0</v>
      </c>
      <c r="F395" s="17">
        <f t="shared" si="12"/>
        <v>1217000</v>
      </c>
      <c r="G395" s="18">
        <f>IF(A395="","",F395/Dashboard!$B$7)</f>
        <v>8.1133333333333333</v>
      </c>
      <c r="H395" s="15">
        <f>IF(A395="","",IF(F395&gt;=Dashboard!$B$7,1,0))</f>
        <v>1</v>
      </c>
    </row>
    <row r="396" spans="1:8" ht="21" customHeight="1">
      <c r="A396" s="15">
        <f>IF('Savings Inputs'!$B$14,390,"")</f>
        <v>390</v>
      </c>
      <c r="B396" s="16">
        <f>IF(A396="","",DATE(YEAR('Savings Inputs'!$B$10),MONTH('Savings Inputs'!$B$10)+A396+1,0))</f>
        <v>58195</v>
      </c>
      <c r="C396" s="17">
        <f t="shared" si="13"/>
        <v>1217000</v>
      </c>
      <c r="D396" s="17">
        <f>IF(A396="","",'Savings Inputs'!$B$8)</f>
        <v>3000</v>
      </c>
      <c r="E396" s="17">
        <f>IF(A396="","",IF(A396='Savings Inputs'!$B$16,'Savings Inputs'!$B$9,0))</f>
        <v>0</v>
      </c>
      <c r="F396" s="17">
        <f t="shared" si="12"/>
        <v>1220000</v>
      </c>
      <c r="G396" s="18">
        <f>IF(A396="","",F396/Dashboard!$B$7)</f>
        <v>8.1333333333333329</v>
      </c>
      <c r="H396" s="15">
        <f>IF(A396="","",IF(F396&gt;=Dashboard!$B$7,1,0))</f>
        <v>1</v>
      </c>
    </row>
    <row r="397" spans="1:8" ht="21" customHeight="1">
      <c r="A397" s="15">
        <f>IF('Savings Inputs'!$B$14,391,"")</f>
        <v>391</v>
      </c>
      <c r="B397" s="16">
        <f>IF(A397="","",DATE(YEAR('Savings Inputs'!$B$10),MONTH('Savings Inputs'!$B$10)+A397+1,0))</f>
        <v>58226</v>
      </c>
      <c r="C397" s="17">
        <f t="shared" si="13"/>
        <v>1220000</v>
      </c>
      <c r="D397" s="17">
        <f>IF(A397="","",'Savings Inputs'!$B$8)</f>
        <v>3000</v>
      </c>
      <c r="E397" s="17">
        <f>IF(A397="","",IF(A397='Savings Inputs'!$B$16,'Savings Inputs'!$B$9,0))</f>
        <v>0</v>
      </c>
      <c r="F397" s="17">
        <f t="shared" si="12"/>
        <v>1223000</v>
      </c>
      <c r="G397" s="18">
        <f>IF(A397="","",F397/Dashboard!$B$7)</f>
        <v>8.1533333333333342</v>
      </c>
      <c r="H397" s="15">
        <f>IF(A397="","",IF(F397&gt;=Dashboard!$B$7,1,0))</f>
        <v>1</v>
      </c>
    </row>
    <row r="398" spans="1:8" ht="21" customHeight="1">
      <c r="A398" s="15">
        <f>IF('Savings Inputs'!$B$14,392,"")</f>
        <v>392</v>
      </c>
      <c r="B398" s="16">
        <f>IF(A398="","",DATE(YEAR('Savings Inputs'!$B$10),MONTH('Savings Inputs'!$B$10)+A398+1,0))</f>
        <v>58256</v>
      </c>
      <c r="C398" s="17">
        <f t="shared" si="13"/>
        <v>1223000</v>
      </c>
      <c r="D398" s="17">
        <f>IF(A398="","",'Savings Inputs'!$B$8)</f>
        <v>3000</v>
      </c>
      <c r="E398" s="17">
        <f>IF(A398="","",IF(A398='Savings Inputs'!$B$16,'Savings Inputs'!$B$9,0))</f>
        <v>0</v>
      </c>
      <c r="F398" s="17">
        <f t="shared" si="12"/>
        <v>1226000</v>
      </c>
      <c r="G398" s="18">
        <f>IF(A398="","",F398/Dashboard!$B$7)</f>
        <v>8.1733333333333338</v>
      </c>
      <c r="H398" s="15">
        <f>IF(A398="","",IF(F398&gt;=Dashboard!$B$7,1,0))</f>
        <v>1</v>
      </c>
    </row>
    <row r="399" spans="1:8" ht="21" customHeight="1">
      <c r="A399" s="15">
        <f>IF('Savings Inputs'!$B$14,393,"")</f>
        <v>393</v>
      </c>
      <c r="B399" s="16">
        <f>IF(A399="","",DATE(YEAR('Savings Inputs'!$B$10),MONTH('Savings Inputs'!$B$10)+A399+1,0))</f>
        <v>58287</v>
      </c>
      <c r="C399" s="17">
        <f t="shared" si="13"/>
        <v>1226000</v>
      </c>
      <c r="D399" s="17">
        <f>IF(A399="","",'Savings Inputs'!$B$8)</f>
        <v>3000</v>
      </c>
      <c r="E399" s="17">
        <f>IF(A399="","",IF(A399='Savings Inputs'!$B$16,'Savings Inputs'!$B$9,0))</f>
        <v>0</v>
      </c>
      <c r="F399" s="17">
        <f t="shared" si="12"/>
        <v>1229000</v>
      </c>
      <c r="G399" s="18">
        <f>IF(A399="","",F399/Dashboard!$B$7)</f>
        <v>8.1933333333333334</v>
      </c>
      <c r="H399" s="15">
        <f>IF(A399="","",IF(F399&gt;=Dashboard!$B$7,1,0))</f>
        <v>1</v>
      </c>
    </row>
    <row r="400" spans="1:8" ht="21" customHeight="1">
      <c r="A400" s="15">
        <f>IF('Savings Inputs'!$B$14,394,"")</f>
        <v>394</v>
      </c>
      <c r="B400" s="16">
        <f>IF(A400="","",DATE(YEAR('Savings Inputs'!$B$10),MONTH('Savings Inputs'!$B$10)+A400+1,0))</f>
        <v>58318</v>
      </c>
      <c r="C400" s="17">
        <f t="shared" si="13"/>
        <v>1229000</v>
      </c>
      <c r="D400" s="17">
        <f>IF(A400="","",'Savings Inputs'!$B$8)</f>
        <v>3000</v>
      </c>
      <c r="E400" s="17">
        <f>IF(A400="","",IF(A400='Savings Inputs'!$B$16,'Savings Inputs'!$B$9,0))</f>
        <v>0</v>
      </c>
      <c r="F400" s="17">
        <f t="shared" si="12"/>
        <v>1232000</v>
      </c>
      <c r="G400" s="18">
        <f>IF(A400="","",F400/Dashboard!$B$7)</f>
        <v>8.2133333333333329</v>
      </c>
      <c r="H400" s="15">
        <f>IF(A400="","",IF(F400&gt;=Dashboard!$B$7,1,0))</f>
        <v>1</v>
      </c>
    </row>
    <row r="401" spans="1:8" ht="21" customHeight="1">
      <c r="A401" s="15">
        <f>IF('Savings Inputs'!$B$14,395,"")</f>
        <v>395</v>
      </c>
      <c r="B401" s="16">
        <f>IF(A401="","",DATE(YEAR('Savings Inputs'!$B$10),MONTH('Savings Inputs'!$B$10)+A401+1,0))</f>
        <v>58348</v>
      </c>
      <c r="C401" s="17">
        <f t="shared" si="13"/>
        <v>1232000</v>
      </c>
      <c r="D401" s="17">
        <f>IF(A401="","",'Savings Inputs'!$B$8)</f>
        <v>3000</v>
      </c>
      <c r="E401" s="17">
        <f>IF(A401="","",IF(A401='Savings Inputs'!$B$16,'Savings Inputs'!$B$9,0))</f>
        <v>0</v>
      </c>
      <c r="F401" s="17">
        <f t="shared" si="12"/>
        <v>1235000</v>
      </c>
      <c r="G401" s="18">
        <f>IF(A401="","",F401/Dashboard!$B$7)</f>
        <v>8.2333333333333325</v>
      </c>
      <c r="H401" s="15">
        <f>IF(A401="","",IF(F401&gt;=Dashboard!$B$7,1,0))</f>
        <v>1</v>
      </c>
    </row>
    <row r="402" spans="1:8" ht="21" customHeight="1">
      <c r="A402" s="15">
        <f>IF('Savings Inputs'!$B$14,396,"")</f>
        <v>396</v>
      </c>
      <c r="B402" s="16">
        <f>IF(A402="","",DATE(YEAR('Savings Inputs'!$B$10),MONTH('Savings Inputs'!$B$10)+A402+1,0))</f>
        <v>58379</v>
      </c>
      <c r="C402" s="17">
        <f t="shared" si="13"/>
        <v>1235000</v>
      </c>
      <c r="D402" s="17">
        <f>IF(A402="","",'Savings Inputs'!$B$8)</f>
        <v>3000</v>
      </c>
      <c r="E402" s="17">
        <f>IF(A402="","",IF(A402='Savings Inputs'!$B$16,'Savings Inputs'!$B$9,0))</f>
        <v>0</v>
      </c>
      <c r="F402" s="17">
        <f t="shared" si="12"/>
        <v>1238000</v>
      </c>
      <c r="G402" s="18">
        <f>IF(A402="","",F402/Dashboard!$B$7)</f>
        <v>8.2533333333333339</v>
      </c>
      <c r="H402" s="15">
        <f>IF(A402="","",IF(F402&gt;=Dashboard!$B$7,1,0))</f>
        <v>1</v>
      </c>
    </row>
    <row r="403" spans="1:8" ht="21" customHeight="1">
      <c r="A403" s="15">
        <f>IF('Savings Inputs'!$B$14,397,"")</f>
        <v>397</v>
      </c>
      <c r="B403" s="16">
        <f>IF(A403="","",DATE(YEAR('Savings Inputs'!$B$10),MONTH('Savings Inputs'!$B$10)+A403+1,0))</f>
        <v>58409</v>
      </c>
      <c r="C403" s="17">
        <f t="shared" si="13"/>
        <v>1238000</v>
      </c>
      <c r="D403" s="17">
        <f>IF(A403="","",'Savings Inputs'!$B$8)</f>
        <v>3000</v>
      </c>
      <c r="E403" s="17">
        <f>IF(A403="","",IF(A403='Savings Inputs'!$B$16,'Savings Inputs'!$B$9,0))</f>
        <v>0</v>
      </c>
      <c r="F403" s="17">
        <f t="shared" si="12"/>
        <v>1241000</v>
      </c>
      <c r="G403" s="18">
        <f>IF(A403="","",F403/Dashboard!$B$7)</f>
        <v>8.2733333333333334</v>
      </c>
      <c r="H403" s="15">
        <f>IF(A403="","",IF(F403&gt;=Dashboard!$B$7,1,0))</f>
        <v>1</v>
      </c>
    </row>
    <row r="404" spans="1:8" ht="21" customHeight="1">
      <c r="A404" s="15">
        <f>IF('Savings Inputs'!$B$14,398,"")</f>
        <v>398</v>
      </c>
      <c r="B404" s="16">
        <f>IF(A404="","",DATE(YEAR('Savings Inputs'!$B$10),MONTH('Savings Inputs'!$B$10)+A404+1,0))</f>
        <v>58440</v>
      </c>
      <c r="C404" s="17">
        <f t="shared" si="13"/>
        <v>1241000</v>
      </c>
      <c r="D404" s="17">
        <f>IF(A404="","",'Savings Inputs'!$B$8)</f>
        <v>3000</v>
      </c>
      <c r="E404" s="17">
        <f>IF(A404="","",IF(A404='Savings Inputs'!$B$16,'Savings Inputs'!$B$9,0))</f>
        <v>0</v>
      </c>
      <c r="F404" s="17">
        <f t="shared" si="12"/>
        <v>1244000</v>
      </c>
      <c r="G404" s="18">
        <f>IF(A404="","",F404/Dashboard!$B$7)</f>
        <v>8.293333333333333</v>
      </c>
      <c r="H404" s="15">
        <f>IF(A404="","",IF(F404&gt;=Dashboard!$B$7,1,0))</f>
        <v>1</v>
      </c>
    </row>
    <row r="405" spans="1:8" ht="21" customHeight="1">
      <c r="A405" s="15">
        <f>IF('Savings Inputs'!$B$14,399,"")</f>
        <v>399</v>
      </c>
      <c r="B405" s="16">
        <f>IF(A405="","",DATE(YEAR('Savings Inputs'!$B$10),MONTH('Savings Inputs'!$B$10)+A405+1,0))</f>
        <v>58471</v>
      </c>
      <c r="C405" s="17">
        <f t="shared" si="13"/>
        <v>1244000</v>
      </c>
      <c r="D405" s="17">
        <f>IF(A405="","",'Savings Inputs'!$B$8)</f>
        <v>3000</v>
      </c>
      <c r="E405" s="17">
        <f>IF(A405="","",IF(A405='Savings Inputs'!$B$16,'Savings Inputs'!$B$9,0))</f>
        <v>0</v>
      </c>
      <c r="F405" s="17">
        <f t="shared" si="12"/>
        <v>1247000</v>
      </c>
      <c r="G405" s="18">
        <f>IF(A405="","",F405/Dashboard!$B$7)</f>
        <v>8.3133333333333326</v>
      </c>
      <c r="H405" s="15">
        <f>IF(A405="","",IF(F405&gt;=Dashboard!$B$7,1,0))</f>
        <v>1</v>
      </c>
    </row>
    <row r="406" spans="1:8" ht="21" customHeight="1">
      <c r="A406" s="15">
        <f>IF('Savings Inputs'!$B$14,400,"")</f>
        <v>400</v>
      </c>
      <c r="B406" s="16">
        <f>IF(A406="","",DATE(YEAR('Savings Inputs'!$B$10),MONTH('Savings Inputs'!$B$10)+A406+1,0))</f>
        <v>58500</v>
      </c>
      <c r="C406" s="17">
        <f t="shared" si="13"/>
        <v>1247000</v>
      </c>
      <c r="D406" s="17">
        <f>IF(A406="","",'Savings Inputs'!$B$8)</f>
        <v>3000</v>
      </c>
      <c r="E406" s="17">
        <f>IF(A406="","",IF(A406='Savings Inputs'!$B$16,'Savings Inputs'!$B$9,0))</f>
        <v>0</v>
      </c>
      <c r="F406" s="17">
        <f t="shared" si="12"/>
        <v>1250000</v>
      </c>
      <c r="G406" s="18">
        <f>IF(A406="","",F406/Dashboard!$B$7)</f>
        <v>8.3333333333333339</v>
      </c>
      <c r="H406" s="15">
        <f>IF(A406="","",IF(F406&gt;=Dashboard!$B$7,1,0))</f>
        <v>1</v>
      </c>
    </row>
    <row r="407" spans="1:8" ht="21" customHeight="1">
      <c r="A407" s="15">
        <f>IF('Savings Inputs'!$B$14,401,"")</f>
        <v>401</v>
      </c>
      <c r="B407" s="16">
        <f>IF(A407="","",DATE(YEAR('Savings Inputs'!$B$10),MONTH('Savings Inputs'!$B$10)+A407+1,0))</f>
        <v>58531</v>
      </c>
      <c r="C407" s="17">
        <f t="shared" si="13"/>
        <v>1250000</v>
      </c>
      <c r="D407" s="17">
        <f>IF(A407="","",'Savings Inputs'!$B$8)</f>
        <v>3000</v>
      </c>
      <c r="E407" s="17">
        <f>IF(A407="","",IF(A407='Savings Inputs'!$B$16,'Savings Inputs'!$B$9,0))</f>
        <v>0</v>
      </c>
      <c r="F407" s="17">
        <f t="shared" si="12"/>
        <v>1253000</v>
      </c>
      <c r="G407" s="18">
        <f>IF(A407="","",F407/Dashboard!$B$7)</f>
        <v>8.3533333333333335</v>
      </c>
      <c r="H407" s="15">
        <f>IF(A407="","",IF(F407&gt;=Dashboard!$B$7,1,0))</f>
        <v>1</v>
      </c>
    </row>
    <row r="408" spans="1:8" ht="21" customHeight="1">
      <c r="A408" s="15">
        <f>IF('Savings Inputs'!$B$14,402,"")</f>
        <v>402</v>
      </c>
      <c r="B408" s="16">
        <f>IF(A408="","",DATE(YEAR('Savings Inputs'!$B$10),MONTH('Savings Inputs'!$B$10)+A408+1,0))</f>
        <v>58561</v>
      </c>
      <c r="C408" s="17">
        <f t="shared" si="13"/>
        <v>1253000</v>
      </c>
      <c r="D408" s="17">
        <f>IF(A408="","",'Savings Inputs'!$B$8)</f>
        <v>3000</v>
      </c>
      <c r="E408" s="17">
        <f>IF(A408="","",IF(A408='Savings Inputs'!$B$16,'Savings Inputs'!$B$9,0))</f>
        <v>0</v>
      </c>
      <c r="F408" s="17">
        <f t="shared" si="12"/>
        <v>1256000</v>
      </c>
      <c r="G408" s="18">
        <f>IF(A408="","",F408/Dashboard!$B$7)</f>
        <v>8.3733333333333331</v>
      </c>
      <c r="H408" s="15">
        <f>IF(A408="","",IF(F408&gt;=Dashboard!$B$7,1,0))</f>
        <v>1</v>
      </c>
    </row>
    <row r="409" spans="1:8" ht="21" customHeight="1">
      <c r="A409" s="15">
        <f>IF('Savings Inputs'!$B$14,403,"")</f>
        <v>403</v>
      </c>
      <c r="B409" s="16">
        <f>IF(A409="","",DATE(YEAR('Savings Inputs'!$B$10),MONTH('Savings Inputs'!$B$10)+A409+1,0))</f>
        <v>58592</v>
      </c>
      <c r="C409" s="17">
        <f t="shared" si="13"/>
        <v>1256000</v>
      </c>
      <c r="D409" s="17">
        <f>IF(A409="","",'Savings Inputs'!$B$8)</f>
        <v>3000</v>
      </c>
      <c r="E409" s="17">
        <f>IF(A409="","",IF(A409='Savings Inputs'!$B$16,'Savings Inputs'!$B$9,0))</f>
        <v>0</v>
      </c>
      <c r="F409" s="17">
        <f t="shared" si="12"/>
        <v>1259000</v>
      </c>
      <c r="G409" s="18">
        <f>IF(A409="","",F409/Dashboard!$B$7)</f>
        <v>8.3933333333333326</v>
      </c>
      <c r="H409" s="15">
        <f>IF(A409="","",IF(F409&gt;=Dashboard!$B$7,1,0))</f>
        <v>1</v>
      </c>
    </row>
    <row r="410" spans="1:8" ht="21" customHeight="1">
      <c r="A410" s="15">
        <f>IF('Savings Inputs'!$B$14,404,"")</f>
        <v>404</v>
      </c>
      <c r="B410" s="16">
        <f>IF(A410="","",DATE(YEAR('Savings Inputs'!$B$10),MONTH('Savings Inputs'!$B$10)+A410+1,0))</f>
        <v>58622</v>
      </c>
      <c r="C410" s="17">
        <f t="shared" si="13"/>
        <v>1259000</v>
      </c>
      <c r="D410" s="17">
        <f>IF(A410="","",'Savings Inputs'!$B$8)</f>
        <v>3000</v>
      </c>
      <c r="E410" s="17">
        <f>IF(A410="","",IF(A410='Savings Inputs'!$B$16,'Savings Inputs'!$B$9,0))</f>
        <v>0</v>
      </c>
      <c r="F410" s="17">
        <f t="shared" si="12"/>
        <v>1262000</v>
      </c>
      <c r="G410" s="18">
        <f>IF(A410="","",F410/Dashboard!$B$7)</f>
        <v>8.413333333333334</v>
      </c>
      <c r="H410" s="15">
        <f>IF(A410="","",IF(F410&gt;=Dashboard!$B$7,1,0))</f>
        <v>1</v>
      </c>
    </row>
    <row r="411" spans="1:8" ht="21" customHeight="1">
      <c r="A411" s="15">
        <f>IF('Savings Inputs'!$B$14,405,"")</f>
        <v>405</v>
      </c>
      <c r="B411" s="16">
        <f>IF(A411="","",DATE(YEAR('Savings Inputs'!$B$10),MONTH('Savings Inputs'!$B$10)+A411+1,0))</f>
        <v>58653</v>
      </c>
      <c r="C411" s="17">
        <f t="shared" si="13"/>
        <v>1262000</v>
      </c>
      <c r="D411" s="17">
        <f>IF(A411="","",'Savings Inputs'!$B$8)</f>
        <v>3000</v>
      </c>
      <c r="E411" s="17">
        <f>IF(A411="","",IF(A411='Savings Inputs'!$B$16,'Savings Inputs'!$B$9,0))</f>
        <v>0</v>
      </c>
      <c r="F411" s="17">
        <f t="shared" si="12"/>
        <v>1265000</v>
      </c>
      <c r="G411" s="18">
        <f>IF(A411="","",F411/Dashboard!$B$7)</f>
        <v>8.4333333333333336</v>
      </c>
      <c r="H411" s="15">
        <f>IF(A411="","",IF(F411&gt;=Dashboard!$B$7,1,0))</f>
        <v>1</v>
      </c>
    </row>
    <row r="412" spans="1:8" ht="21" customHeight="1">
      <c r="A412" s="15">
        <f>IF('Savings Inputs'!$B$14,406,"")</f>
        <v>406</v>
      </c>
      <c r="B412" s="16">
        <f>IF(A412="","",DATE(YEAR('Savings Inputs'!$B$10),MONTH('Savings Inputs'!$B$10)+A412+1,0))</f>
        <v>58684</v>
      </c>
      <c r="C412" s="17">
        <f t="shared" si="13"/>
        <v>1265000</v>
      </c>
      <c r="D412" s="17">
        <f>IF(A412="","",'Savings Inputs'!$B$8)</f>
        <v>3000</v>
      </c>
      <c r="E412" s="17">
        <f>IF(A412="","",IF(A412='Savings Inputs'!$B$16,'Savings Inputs'!$B$9,0))</f>
        <v>0</v>
      </c>
      <c r="F412" s="17">
        <f t="shared" si="12"/>
        <v>1268000</v>
      </c>
      <c r="G412" s="18">
        <f>IF(A412="","",F412/Dashboard!$B$7)</f>
        <v>8.4533333333333331</v>
      </c>
      <c r="H412" s="15">
        <f>IF(A412="","",IF(F412&gt;=Dashboard!$B$7,1,0))</f>
        <v>1</v>
      </c>
    </row>
    <row r="413" spans="1:8" ht="21" customHeight="1">
      <c r="A413" s="15">
        <f>IF('Savings Inputs'!$B$14,407,"")</f>
        <v>407</v>
      </c>
      <c r="B413" s="16">
        <f>IF(A413="","",DATE(YEAR('Savings Inputs'!$B$10),MONTH('Savings Inputs'!$B$10)+A413+1,0))</f>
        <v>58714</v>
      </c>
      <c r="C413" s="17">
        <f t="shared" si="13"/>
        <v>1268000</v>
      </c>
      <c r="D413" s="17">
        <f>IF(A413="","",'Savings Inputs'!$B$8)</f>
        <v>3000</v>
      </c>
      <c r="E413" s="17">
        <f>IF(A413="","",IF(A413='Savings Inputs'!$B$16,'Savings Inputs'!$B$9,0))</f>
        <v>0</v>
      </c>
      <c r="F413" s="17">
        <f t="shared" si="12"/>
        <v>1271000</v>
      </c>
      <c r="G413" s="18">
        <f>IF(A413="","",F413/Dashboard!$B$7)</f>
        <v>8.4733333333333327</v>
      </c>
      <c r="H413" s="15">
        <f>IF(A413="","",IF(F413&gt;=Dashboard!$B$7,1,0))</f>
        <v>1</v>
      </c>
    </row>
    <row r="414" spans="1:8" ht="21" customHeight="1">
      <c r="A414" s="15">
        <f>IF('Savings Inputs'!$B$14,408,"")</f>
        <v>408</v>
      </c>
      <c r="B414" s="16">
        <f>IF(A414="","",DATE(YEAR('Savings Inputs'!$B$10),MONTH('Savings Inputs'!$B$10)+A414+1,0))</f>
        <v>58745</v>
      </c>
      <c r="C414" s="17">
        <f t="shared" si="13"/>
        <v>1271000</v>
      </c>
      <c r="D414" s="17">
        <f>IF(A414="","",'Savings Inputs'!$B$8)</f>
        <v>3000</v>
      </c>
      <c r="E414" s="17">
        <f>IF(A414="","",IF(A414='Savings Inputs'!$B$16,'Savings Inputs'!$B$9,0))</f>
        <v>0</v>
      </c>
      <c r="F414" s="17">
        <f t="shared" si="12"/>
        <v>1274000</v>
      </c>
      <c r="G414" s="18">
        <f>IF(A414="","",F414/Dashboard!$B$7)</f>
        <v>8.4933333333333341</v>
      </c>
      <c r="H414" s="15">
        <f>IF(A414="","",IF(F414&gt;=Dashboard!$B$7,1,0))</f>
        <v>1</v>
      </c>
    </row>
    <row r="415" spans="1:8" ht="21" customHeight="1">
      <c r="A415" s="15">
        <f>IF('Savings Inputs'!$B$14,409,"")</f>
        <v>409</v>
      </c>
      <c r="B415" s="16">
        <f>IF(A415="","",DATE(YEAR('Savings Inputs'!$B$10),MONTH('Savings Inputs'!$B$10)+A415+1,0))</f>
        <v>58775</v>
      </c>
      <c r="C415" s="17">
        <f t="shared" si="13"/>
        <v>1274000</v>
      </c>
      <c r="D415" s="17">
        <f>IF(A415="","",'Savings Inputs'!$B$8)</f>
        <v>3000</v>
      </c>
      <c r="E415" s="17">
        <f>IF(A415="","",IF(A415='Savings Inputs'!$B$16,'Savings Inputs'!$B$9,0))</f>
        <v>0</v>
      </c>
      <c r="F415" s="17">
        <f t="shared" si="12"/>
        <v>1277000</v>
      </c>
      <c r="G415" s="18">
        <f>IF(A415="","",F415/Dashboard!$B$7)</f>
        <v>8.5133333333333336</v>
      </c>
      <c r="H415" s="15">
        <f>IF(A415="","",IF(F415&gt;=Dashboard!$B$7,1,0))</f>
        <v>1</v>
      </c>
    </row>
    <row r="416" spans="1:8" ht="21" customHeight="1">
      <c r="A416" s="15">
        <f>IF('Savings Inputs'!$B$14,410,"")</f>
        <v>410</v>
      </c>
      <c r="B416" s="16">
        <f>IF(A416="","",DATE(YEAR('Savings Inputs'!$B$10),MONTH('Savings Inputs'!$B$10)+A416+1,0))</f>
        <v>58806</v>
      </c>
      <c r="C416" s="17">
        <f t="shared" si="13"/>
        <v>1277000</v>
      </c>
      <c r="D416" s="17">
        <f>IF(A416="","",'Savings Inputs'!$B$8)</f>
        <v>3000</v>
      </c>
      <c r="E416" s="17">
        <f>IF(A416="","",IF(A416='Savings Inputs'!$B$16,'Savings Inputs'!$B$9,0))</f>
        <v>0</v>
      </c>
      <c r="F416" s="17">
        <f t="shared" si="12"/>
        <v>1280000</v>
      </c>
      <c r="G416" s="18">
        <f>IF(A416="","",F416/Dashboard!$B$7)</f>
        <v>8.5333333333333332</v>
      </c>
      <c r="H416" s="15">
        <f>IF(A416="","",IF(F416&gt;=Dashboard!$B$7,1,0))</f>
        <v>1</v>
      </c>
    </row>
    <row r="417" spans="1:8" ht="21" customHeight="1">
      <c r="A417" s="15">
        <f>IF('Savings Inputs'!$B$14,411,"")</f>
        <v>411</v>
      </c>
      <c r="B417" s="16">
        <f>IF(A417="","",DATE(YEAR('Savings Inputs'!$B$10),MONTH('Savings Inputs'!$B$10)+A417+1,0))</f>
        <v>58837</v>
      </c>
      <c r="C417" s="17">
        <f t="shared" si="13"/>
        <v>1280000</v>
      </c>
      <c r="D417" s="17">
        <f>IF(A417="","",'Savings Inputs'!$B$8)</f>
        <v>3000</v>
      </c>
      <c r="E417" s="17">
        <f>IF(A417="","",IF(A417='Savings Inputs'!$B$16,'Savings Inputs'!$B$9,0))</f>
        <v>0</v>
      </c>
      <c r="F417" s="17">
        <f t="shared" si="12"/>
        <v>1283000</v>
      </c>
      <c r="G417" s="18">
        <f>IF(A417="","",F417/Dashboard!$B$7)</f>
        <v>8.5533333333333328</v>
      </c>
      <c r="H417" s="15">
        <f>IF(A417="","",IF(F417&gt;=Dashboard!$B$7,1,0))</f>
        <v>1</v>
      </c>
    </row>
    <row r="418" spans="1:8" ht="21" customHeight="1">
      <c r="A418" s="15">
        <f>IF('Savings Inputs'!$B$14,412,"")</f>
        <v>412</v>
      </c>
      <c r="B418" s="16">
        <f>IF(A418="","",DATE(YEAR('Savings Inputs'!$B$10),MONTH('Savings Inputs'!$B$10)+A418+1,0))</f>
        <v>58865</v>
      </c>
      <c r="C418" s="17">
        <f t="shared" si="13"/>
        <v>1283000</v>
      </c>
      <c r="D418" s="17">
        <f>IF(A418="","",'Savings Inputs'!$B$8)</f>
        <v>3000</v>
      </c>
      <c r="E418" s="17">
        <f>IF(A418="","",IF(A418='Savings Inputs'!$B$16,'Savings Inputs'!$B$9,0))</f>
        <v>0</v>
      </c>
      <c r="F418" s="17">
        <f t="shared" si="12"/>
        <v>1286000</v>
      </c>
      <c r="G418" s="18">
        <f>IF(A418="","",F418/Dashboard!$B$7)</f>
        <v>8.5733333333333341</v>
      </c>
      <c r="H418" s="15">
        <f>IF(A418="","",IF(F418&gt;=Dashboard!$B$7,1,0))</f>
        <v>1</v>
      </c>
    </row>
    <row r="419" spans="1:8" ht="21" customHeight="1">
      <c r="A419" s="15">
        <f>IF('Savings Inputs'!$B$14,413,"")</f>
        <v>413</v>
      </c>
      <c r="B419" s="16">
        <f>IF(A419="","",DATE(YEAR('Savings Inputs'!$B$10),MONTH('Savings Inputs'!$B$10)+A419+1,0))</f>
        <v>58896</v>
      </c>
      <c r="C419" s="17">
        <f t="shared" si="13"/>
        <v>1286000</v>
      </c>
      <c r="D419" s="17">
        <f>IF(A419="","",'Savings Inputs'!$B$8)</f>
        <v>3000</v>
      </c>
      <c r="E419" s="17">
        <f>IF(A419="","",IF(A419='Savings Inputs'!$B$16,'Savings Inputs'!$B$9,0))</f>
        <v>0</v>
      </c>
      <c r="F419" s="17">
        <f t="shared" si="12"/>
        <v>1289000</v>
      </c>
      <c r="G419" s="18">
        <f>IF(A419="","",F419/Dashboard!$B$7)</f>
        <v>8.5933333333333337</v>
      </c>
      <c r="H419" s="15">
        <f>IF(A419="","",IF(F419&gt;=Dashboard!$B$7,1,0))</f>
        <v>1</v>
      </c>
    </row>
    <row r="420" spans="1:8" ht="21" customHeight="1">
      <c r="A420" s="15">
        <f>IF('Savings Inputs'!$B$14,414,"")</f>
        <v>414</v>
      </c>
      <c r="B420" s="16">
        <f>IF(A420="","",DATE(YEAR('Savings Inputs'!$B$10),MONTH('Savings Inputs'!$B$10)+A420+1,0))</f>
        <v>58926</v>
      </c>
      <c r="C420" s="17">
        <f t="shared" si="13"/>
        <v>1289000</v>
      </c>
      <c r="D420" s="17">
        <f>IF(A420="","",'Savings Inputs'!$B$8)</f>
        <v>3000</v>
      </c>
      <c r="E420" s="17">
        <f>IF(A420="","",IF(A420='Savings Inputs'!$B$16,'Savings Inputs'!$B$9,0))</f>
        <v>0</v>
      </c>
      <c r="F420" s="17">
        <f t="shared" si="12"/>
        <v>1292000</v>
      </c>
      <c r="G420" s="18">
        <f>IF(A420="","",F420/Dashboard!$B$7)</f>
        <v>8.6133333333333333</v>
      </c>
      <c r="H420" s="15">
        <f>IF(A420="","",IF(F420&gt;=Dashboard!$B$7,1,0))</f>
        <v>1</v>
      </c>
    </row>
    <row r="421" spans="1:8" ht="21" customHeight="1">
      <c r="A421" s="15">
        <f>IF('Savings Inputs'!$B$14,415,"")</f>
        <v>415</v>
      </c>
      <c r="B421" s="16">
        <f>IF(A421="","",DATE(YEAR('Savings Inputs'!$B$10),MONTH('Savings Inputs'!$B$10)+A421+1,0))</f>
        <v>58957</v>
      </c>
      <c r="C421" s="17">
        <f t="shared" si="13"/>
        <v>1292000</v>
      </c>
      <c r="D421" s="17">
        <f>IF(A421="","",'Savings Inputs'!$B$8)</f>
        <v>3000</v>
      </c>
      <c r="E421" s="17">
        <f>IF(A421="","",IF(A421='Savings Inputs'!$B$16,'Savings Inputs'!$B$9,0))</f>
        <v>0</v>
      </c>
      <c r="F421" s="17">
        <f t="shared" si="12"/>
        <v>1295000</v>
      </c>
      <c r="G421" s="18">
        <f>IF(A421="","",F421/Dashboard!$B$7)</f>
        <v>8.6333333333333329</v>
      </c>
      <c r="H421" s="15">
        <f>IF(A421="","",IF(F421&gt;=Dashboard!$B$7,1,0))</f>
        <v>1</v>
      </c>
    </row>
    <row r="422" spans="1:8" ht="21" customHeight="1">
      <c r="A422" s="15">
        <f>IF('Savings Inputs'!$B$14,416,"")</f>
        <v>416</v>
      </c>
      <c r="B422" s="16">
        <f>IF(A422="","",DATE(YEAR('Savings Inputs'!$B$10),MONTH('Savings Inputs'!$B$10)+A422+1,0))</f>
        <v>58987</v>
      </c>
      <c r="C422" s="17">
        <f t="shared" si="13"/>
        <v>1295000</v>
      </c>
      <c r="D422" s="17">
        <f>IF(A422="","",'Savings Inputs'!$B$8)</f>
        <v>3000</v>
      </c>
      <c r="E422" s="17">
        <f>IF(A422="","",IF(A422='Savings Inputs'!$B$16,'Savings Inputs'!$B$9,0))</f>
        <v>0</v>
      </c>
      <c r="F422" s="17">
        <f t="shared" si="12"/>
        <v>1298000</v>
      </c>
      <c r="G422" s="18">
        <f>IF(A422="","",F422/Dashboard!$B$7)</f>
        <v>8.6533333333333342</v>
      </c>
      <c r="H422" s="15">
        <f>IF(A422="","",IF(F422&gt;=Dashboard!$B$7,1,0))</f>
        <v>1</v>
      </c>
    </row>
    <row r="423" spans="1:8" ht="21" customHeight="1">
      <c r="A423" s="15">
        <f>IF('Savings Inputs'!$B$14,417,"")</f>
        <v>417</v>
      </c>
      <c r="B423" s="16">
        <f>IF(A423="","",DATE(YEAR('Savings Inputs'!$B$10),MONTH('Savings Inputs'!$B$10)+A423+1,0))</f>
        <v>59018</v>
      </c>
      <c r="C423" s="17">
        <f t="shared" si="13"/>
        <v>1298000</v>
      </c>
      <c r="D423" s="17">
        <f>IF(A423="","",'Savings Inputs'!$B$8)</f>
        <v>3000</v>
      </c>
      <c r="E423" s="17">
        <f>IF(A423="","",IF(A423='Savings Inputs'!$B$16,'Savings Inputs'!$B$9,0))</f>
        <v>0</v>
      </c>
      <c r="F423" s="17">
        <f t="shared" si="12"/>
        <v>1301000</v>
      </c>
      <c r="G423" s="18">
        <f>IF(A423="","",F423/Dashboard!$B$7)</f>
        <v>8.6733333333333338</v>
      </c>
      <c r="H423" s="15">
        <f>IF(A423="","",IF(F423&gt;=Dashboard!$B$7,1,0))</f>
        <v>1</v>
      </c>
    </row>
    <row r="424" spans="1:8" ht="21" customHeight="1">
      <c r="A424" s="15">
        <f>IF('Savings Inputs'!$B$14,418,"")</f>
        <v>418</v>
      </c>
      <c r="B424" s="16">
        <f>IF(A424="","",DATE(YEAR('Savings Inputs'!$B$10),MONTH('Savings Inputs'!$B$10)+A424+1,0))</f>
        <v>59049</v>
      </c>
      <c r="C424" s="17">
        <f t="shared" si="13"/>
        <v>1301000</v>
      </c>
      <c r="D424" s="17">
        <f>IF(A424="","",'Savings Inputs'!$B$8)</f>
        <v>3000</v>
      </c>
      <c r="E424" s="17">
        <f>IF(A424="","",IF(A424='Savings Inputs'!$B$16,'Savings Inputs'!$B$9,0))</f>
        <v>0</v>
      </c>
      <c r="F424" s="17">
        <f t="shared" si="12"/>
        <v>1304000</v>
      </c>
      <c r="G424" s="18">
        <f>IF(A424="","",F424/Dashboard!$B$7)</f>
        <v>8.6933333333333334</v>
      </c>
      <c r="H424" s="15">
        <f>IF(A424="","",IF(F424&gt;=Dashboard!$B$7,1,0))</f>
        <v>1</v>
      </c>
    </row>
    <row r="425" spans="1:8" ht="21" customHeight="1">
      <c r="A425" s="15">
        <f>IF('Savings Inputs'!$B$14,419,"")</f>
        <v>419</v>
      </c>
      <c r="B425" s="16">
        <f>IF(A425="","",DATE(YEAR('Savings Inputs'!$B$10),MONTH('Savings Inputs'!$B$10)+A425+1,0))</f>
        <v>59079</v>
      </c>
      <c r="C425" s="17">
        <f t="shared" si="13"/>
        <v>1304000</v>
      </c>
      <c r="D425" s="17">
        <f>IF(A425="","",'Savings Inputs'!$B$8)</f>
        <v>3000</v>
      </c>
      <c r="E425" s="17">
        <f>IF(A425="","",IF(A425='Savings Inputs'!$B$16,'Savings Inputs'!$B$9,0))</f>
        <v>0</v>
      </c>
      <c r="F425" s="17">
        <f t="shared" si="12"/>
        <v>1307000</v>
      </c>
      <c r="G425" s="18">
        <f>IF(A425="","",F425/Dashboard!$B$7)</f>
        <v>8.7133333333333329</v>
      </c>
      <c r="H425" s="15">
        <f>IF(A425="","",IF(F425&gt;=Dashboard!$B$7,1,0))</f>
        <v>1</v>
      </c>
    </row>
    <row r="426" spans="1:8" ht="21" customHeight="1">
      <c r="A426" s="15">
        <f>IF('Savings Inputs'!$B$14,420,"")</f>
        <v>420</v>
      </c>
      <c r="B426" s="16">
        <f>IF(A426="","",DATE(YEAR('Savings Inputs'!$B$10),MONTH('Savings Inputs'!$B$10)+A426+1,0))</f>
        <v>59110</v>
      </c>
      <c r="C426" s="17">
        <f t="shared" si="13"/>
        <v>1307000</v>
      </c>
      <c r="D426" s="17">
        <f>IF(A426="","",'Savings Inputs'!$B$8)</f>
        <v>3000</v>
      </c>
      <c r="E426" s="17">
        <f>IF(A426="","",IF(A426='Savings Inputs'!$B$16,'Savings Inputs'!$B$9,0))</f>
        <v>0</v>
      </c>
      <c r="F426" s="17">
        <f t="shared" si="12"/>
        <v>1310000</v>
      </c>
      <c r="G426" s="18">
        <f>IF(A426="","",F426/Dashboard!$B$7)</f>
        <v>8.7333333333333325</v>
      </c>
      <c r="H426" s="15">
        <f>IF(A426="","",IF(F426&gt;=Dashboard!$B$7,1,0))</f>
        <v>1</v>
      </c>
    </row>
    <row r="427" spans="1:8" ht="21" customHeight="1">
      <c r="A427" s="15">
        <f>IF('Savings Inputs'!$B$14,421,"")</f>
        <v>421</v>
      </c>
      <c r="B427" s="16">
        <f>IF(A427="","",DATE(YEAR('Savings Inputs'!$B$10),MONTH('Savings Inputs'!$B$10)+A427+1,0))</f>
        <v>59140</v>
      </c>
      <c r="C427" s="17">
        <f t="shared" si="13"/>
        <v>1310000</v>
      </c>
      <c r="D427" s="17">
        <f>IF(A427="","",'Savings Inputs'!$B$8)</f>
        <v>3000</v>
      </c>
      <c r="E427" s="17">
        <f>IF(A427="","",IF(A427='Savings Inputs'!$B$16,'Savings Inputs'!$B$9,0))</f>
        <v>0</v>
      </c>
      <c r="F427" s="17">
        <f t="shared" si="12"/>
        <v>1313000</v>
      </c>
      <c r="G427" s="18">
        <f>IF(A427="","",F427/Dashboard!$B$7)</f>
        <v>8.7533333333333339</v>
      </c>
      <c r="H427" s="15">
        <f>IF(A427="","",IF(F427&gt;=Dashboard!$B$7,1,0))</f>
        <v>1</v>
      </c>
    </row>
    <row r="428" spans="1:8" ht="21" customHeight="1">
      <c r="A428" s="15">
        <f>IF('Savings Inputs'!$B$14,422,"")</f>
        <v>422</v>
      </c>
      <c r="B428" s="16">
        <f>IF(A428="","",DATE(YEAR('Savings Inputs'!$B$10),MONTH('Savings Inputs'!$B$10)+A428+1,0))</f>
        <v>59171</v>
      </c>
      <c r="C428" s="17">
        <f t="shared" si="13"/>
        <v>1313000</v>
      </c>
      <c r="D428" s="17">
        <f>IF(A428="","",'Savings Inputs'!$B$8)</f>
        <v>3000</v>
      </c>
      <c r="E428" s="17">
        <f>IF(A428="","",IF(A428='Savings Inputs'!$B$16,'Savings Inputs'!$B$9,0))</f>
        <v>0</v>
      </c>
      <c r="F428" s="17">
        <f t="shared" si="12"/>
        <v>1316000</v>
      </c>
      <c r="G428" s="18">
        <f>IF(A428="","",F428/Dashboard!$B$7)</f>
        <v>8.7733333333333334</v>
      </c>
      <c r="H428" s="15">
        <f>IF(A428="","",IF(F428&gt;=Dashboard!$B$7,1,0))</f>
        <v>1</v>
      </c>
    </row>
    <row r="429" spans="1:8" ht="21" customHeight="1">
      <c r="A429" s="15">
        <f>IF('Savings Inputs'!$B$14,423,"")</f>
        <v>423</v>
      </c>
      <c r="B429" s="16">
        <f>IF(A429="","",DATE(YEAR('Savings Inputs'!$B$10),MONTH('Savings Inputs'!$B$10)+A429+1,0))</f>
        <v>59202</v>
      </c>
      <c r="C429" s="17">
        <f t="shared" si="13"/>
        <v>1316000</v>
      </c>
      <c r="D429" s="17">
        <f>IF(A429="","",'Savings Inputs'!$B$8)</f>
        <v>3000</v>
      </c>
      <c r="E429" s="17">
        <f>IF(A429="","",IF(A429='Savings Inputs'!$B$16,'Savings Inputs'!$B$9,0))</f>
        <v>0</v>
      </c>
      <c r="F429" s="17">
        <f t="shared" si="12"/>
        <v>1319000</v>
      </c>
      <c r="G429" s="18">
        <f>IF(A429="","",F429/Dashboard!$B$7)</f>
        <v>8.793333333333333</v>
      </c>
      <c r="H429" s="15">
        <f>IF(A429="","",IF(F429&gt;=Dashboard!$B$7,1,0))</f>
        <v>1</v>
      </c>
    </row>
    <row r="430" spans="1:8" ht="21" customHeight="1">
      <c r="A430" s="15">
        <f>IF('Savings Inputs'!$B$14,424,"")</f>
        <v>424</v>
      </c>
      <c r="B430" s="16">
        <f>IF(A430="","",DATE(YEAR('Savings Inputs'!$B$10),MONTH('Savings Inputs'!$B$10)+A430+1,0))</f>
        <v>59230</v>
      </c>
      <c r="C430" s="17">
        <f t="shared" si="13"/>
        <v>1319000</v>
      </c>
      <c r="D430" s="17">
        <f>IF(A430="","",'Savings Inputs'!$B$8)</f>
        <v>3000</v>
      </c>
      <c r="E430" s="17">
        <f>IF(A430="","",IF(A430='Savings Inputs'!$B$16,'Savings Inputs'!$B$9,0))</f>
        <v>0</v>
      </c>
      <c r="F430" s="17">
        <f t="shared" si="12"/>
        <v>1322000</v>
      </c>
      <c r="G430" s="18">
        <f>IF(A430="","",F430/Dashboard!$B$7)</f>
        <v>8.8133333333333326</v>
      </c>
      <c r="H430" s="15">
        <f>IF(A430="","",IF(F430&gt;=Dashboard!$B$7,1,0))</f>
        <v>1</v>
      </c>
    </row>
    <row r="431" spans="1:8" ht="21" customHeight="1">
      <c r="A431" s="15">
        <f>IF('Savings Inputs'!$B$14,425,"")</f>
        <v>425</v>
      </c>
      <c r="B431" s="16">
        <f>IF(A431="","",DATE(YEAR('Savings Inputs'!$B$10),MONTH('Savings Inputs'!$B$10)+A431+1,0))</f>
        <v>59261</v>
      </c>
      <c r="C431" s="17">
        <f t="shared" si="13"/>
        <v>1322000</v>
      </c>
      <c r="D431" s="17">
        <f>IF(A431="","",'Savings Inputs'!$B$8)</f>
        <v>3000</v>
      </c>
      <c r="E431" s="17">
        <f>IF(A431="","",IF(A431='Savings Inputs'!$B$16,'Savings Inputs'!$B$9,0))</f>
        <v>0</v>
      </c>
      <c r="F431" s="17">
        <f t="shared" si="12"/>
        <v>1325000</v>
      </c>
      <c r="G431" s="18">
        <f>IF(A431="","",F431/Dashboard!$B$7)</f>
        <v>8.8333333333333339</v>
      </c>
      <c r="H431" s="15">
        <f>IF(A431="","",IF(F431&gt;=Dashboard!$B$7,1,0))</f>
        <v>1</v>
      </c>
    </row>
    <row r="432" spans="1:8" ht="21" customHeight="1">
      <c r="A432" s="15">
        <f>IF('Savings Inputs'!$B$14,426,"")</f>
        <v>426</v>
      </c>
      <c r="B432" s="16">
        <f>IF(A432="","",DATE(YEAR('Savings Inputs'!$B$10),MONTH('Savings Inputs'!$B$10)+A432+1,0))</f>
        <v>59291</v>
      </c>
      <c r="C432" s="17">
        <f t="shared" si="13"/>
        <v>1325000</v>
      </c>
      <c r="D432" s="17">
        <f>IF(A432="","",'Savings Inputs'!$B$8)</f>
        <v>3000</v>
      </c>
      <c r="E432" s="17">
        <f>IF(A432="","",IF(A432='Savings Inputs'!$B$16,'Savings Inputs'!$B$9,0))</f>
        <v>0</v>
      </c>
      <c r="F432" s="17">
        <f t="shared" si="12"/>
        <v>1328000</v>
      </c>
      <c r="G432" s="18">
        <f>IF(A432="","",F432/Dashboard!$B$7)</f>
        <v>8.8533333333333335</v>
      </c>
      <c r="H432" s="15">
        <f>IF(A432="","",IF(F432&gt;=Dashboard!$B$7,1,0))</f>
        <v>1</v>
      </c>
    </row>
    <row r="433" spans="1:8" ht="21" customHeight="1">
      <c r="A433" s="15">
        <f>IF('Savings Inputs'!$B$14,427,"")</f>
        <v>427</v>
      </c>
      <c r="B433" s="16">
        <f>IF(A433="","",DATE(YEAR('Savings Inputs'!$B$10),MONTH('Savings Inputs'!$B$10)+A433+1,0))</f>
        <v>59322</v>
      </c>
      <c r="C433" s="17">
        <f t="shared" si="13"/>
        <v>1328000</v>
      </c>
      <c r="D433" s="17">
        <f>IF(A433="","",'Savings Inputs'!$B$8)</f>
        <v>3000</v>
      </c>
      <c r="E433" s="17">
        <f>IF(A433="","",IF(A433='Savings Inputs'!$B$16,'Savings Inputs'!$B$9,0))</f>
        <v>0</v>
      </c>
      <c r="F433" s="17">
        <f t="shared" si="12"/>
        <v>1331000</v>
      </c>
      <c r="G433" s="18">
        <f>IF(A433="","",F433/Dashboard!$B$7)</f>
        <v>8.8733333333333331</v>
      </c>
      <c r="H433" s="15">
        <f>IF(A433="","",IF(F433&gt;=Dashboard!$B$7,1,0))</f>
        <v>1</v>
      </c>
    </row>
    <row r="434" spans="1:8" ht="21" customHeight="1">
      <c r="A434" s="15">
        <f>IF('Savings Inputs'!$B$14,428,"")</f>
        <v>428</v>
      </c>
      <c r="B434" s="16">
        <f>IF(A434="","",DATE(YEAR('Savings Inputs'!$B$10),MONTH('Savings Inputs'!$B$10)+A434+1,0))</f>
        <v>59352</v>
      </c>
      <c r="C434" s="17">
        <f t="shared" si="13"/>
        <v>1331000</v>
      </c>
      <c r="D434" s="17">
        <f>IF(A434="","",'Savings Inputs'!$B$8)</f>
        <v>3000</v>
      </c>
      <c r="E434" s="17">
        <f>IF(A434="","",IF(A434='Savings Inputs'!$B$16,'Savings Inputs'!$B$9,0))</f>
        <v>0</v>
      </c>
      <c r="F434" s="17">
        <f t="shared" si="12"/>
        <v>1334000</v>
      </c>
      <c r="G434" s="18">
        <f>IF(A434="","",F434/Dashboard!$B$7)</f>
        <v>8.8933333333333326</v>
      </c>
      <c r="H434" s="15">
        <f>IF(A434="","",IF(F434&gt;=Dashboard!$B$7,1,0))</f>
        <v>1</v>
      </c>
    </row>
    <row r="435" spans="1:8" ht="21" customHeight="1">
      <c r="A435" s="15">
        <f>IF('Savings Inputs'!$B$14,429,"")</f>
        <v>429</v>
      </c>
      <c r="B435" s="16">
        <f>IF(A435="","",DATE(YEAR('Savings Inputs'!$B$10),MONTH('Savings Inputs'!$B$10)+A435+1,0))</f>
        <v>59383</v>
      </c>
      <c r="C435" s="17">
        <f t="shared" si="13"/>
        <v>1334000</v>
      </c>
      <c r="D435" s="17">
        <f>IF(A435="","",'Savings Inputs'!$B$8)</f>
        <v>3000</v>
      </c>
      <c r="E435" s="17">
        <f>IF(A435="","",IF(A435='Savings Inputs'!$B$16,'Savings Inputs'!$B$9,0))</f>
        <v>0</v>
      </c>
      <c r="F435" s="17">
        <f t="shared" si="12"/>
        <v>1337000</v>
      </c>
      <c r="G435" s="18">
        <f>IF(A435="","",F435/Dashboard!$B$7)</f>
        <v>8.913333333333334</v>
      </c>
      <c r="H435" s="15">
        <f>IF(A435="","",IF(F435&gt;=Dashboard!$B$7,1,0))</f>
        <v>1</v>
      </c>
    </row>
    <row r="436" spans="1:8" ht="21" customHeight="1">
      <c r="A436" s="15">
        <f>IF('Savings Inputs'!$B$14,430,"")</f>
        <v>430</v>
      </c>
      <c r="B436" s="16">
        <f>IF(A436="","",DATE(YEAR('Savings Inputs'!$B$10),MONTH('Savings Inputs'!$B$10)+A436+1,0))</f>
        <v>59414</v>
      </c>
      <c r="C436" s="17">
        <f t="shared" si="13"/>
        <v>1337000</v>
      </c>
      <c r="D436" s="17">
        <f>IF(A436="","",'Savings Inputs'!$B$8)</f>
        <v>3000</v>
      </c>
      <c r="E436" s="17">
        <f>IF(A436="","",IF(A436='Savings Inputs'!$B$16,'Savings Inputs'!$B$9,0))</f>
        <v>0</v>
      </c>
      <c r="F436" s="17">
        <f t="shared" si="12"/>
        <v>1340000</v>
      </c>
      <c r="G436" s="18">
        <f>IF(A436="","",F436/Dashboard!$B$7)</f>
        <v>8.9333333333333336</v>
      </c>
      <c r="H436" s="15">
        <f>IF(A436="","",IF(F436&gt;=Dashboard!$B$7,1,0))</f>
        <v>1</v>
      </c>
    </row>
    <row r="437" spans="1:8" ht="21" customHeight="1">
      <c r="A437" s="15">
        <f>IF('Savings Inputs'!$B$14,431,"")</f>
        <v>431</v>
      </c>
      <c r="B437" s="16">
        <f>IF(A437="","",DATE(YEAR('Savings Inputs'!$B$10),MONTH('Savings Inputs'!$B$10)+A437+1,0))</f>
        <v>59444</v>
      </c>
      <c r="C437" s="17">
        <f t="shared" si="13"/>
        <v>1340000</v>
      </c>
      <c r="D437" s="17">
        <f>IF(A437="","",'Savings Inputs'!$B$8)</f>
        <v>3000</v>
      </c>
      <c r="E437" s="17">
        <f>IF(A437="","",IF(A437='Savings Inputs'!$B$16,'Savings Inputs'!$B$9,0))</f>
        <v>0</v>
      </c>
      <c r="F437" s="17">
        <f t="shared" si="12"/>
        <v>1343000</v>
      </c>
      <c r="G437" s="18">
        <f>IF(A437="","",F437/Dashboard!$B$7)</f>
        <v>8.9533333333333331</v>
      </c>
      <c r="H437" s="15">
        <f>IF(A437="","",IF(F437&gt;=Dashboard!$B$7,1,0))</f>
        <v>1</v>
      </c>
    </row>
    <row r="438" spans="1:8" ht="21" customHeight="1">
      <c r="A438" s="15">
        <f>IF('Savings Inputs'!$B$14,432,"")</f>
        <v>432</v>
      </c>
      <c r="B438" s="16">
        <f>IF(A438="","",DATE(YEAR('Savings Inputs'!$B$10),MONTH('Savings Inputs'!$B$10)+A438+1,0))</f>
        <v>59475</v>
      </c>
      <c r="C438" s="17">
        <f t="shared" si="13"/>
        <v>1343000</v>
      </c>
      <c r="D438" s="17">
        <f>IF(A438="","",'Savings Inputs'!$B$8)</f>
        <v>3000</v>
      </c>
      <c r="E438" s="17">
        <f>IF(A438="","",IF(A438='Savings Inputs'!$B$16,'Savings Inputs'!$B$9,0))</f>
        <v>0</v>
      </c>
      <c r="F438" s="17">
        <f t="shared" si="12"/>
        <v>1346000</v>
      </c>
      <c r="G438" s="18">
        <f>IF(A438="","",F438/Dashboard!$B$7)</f>
        <v>8.9733333333333327</v>
      </c>
      <c r="H438" s="15">
        <f>IF(A438="","",IF(F438&gt;=Dashboard!$B$7,1,0))</f>
        <v>1</v>
      </c>
    </row>
    <row r="439" spans="1:8" ht="21" customHeight="1">
      <c r="A439" s="15">
        <f>IF('Savings Inputs'!$B$14,433,"")</f>
        <v>433</v>
      </c>
      <c r="B439" s="16">
        <f>IF(A439="","",DATE(YEAR('Savings Inputs'!$B$10),MONTH('Savings Inputs'!$B$10)+A439+1,0))</f>
        <v>59505</v>
      </c>
      <c r="C439" s="17">
        <f t="shared" si="13"/>
        <v>1346000</v>
      </c>
      <c r="D439" s="17">
        <f>IF(A439="","",'Savings Inputs'!$B$8)</f>
        <v>3000</v>
      </c>
      <c r="E439" s="17">
        <f>IF(A439="","",IF(A439='Savings Inputs'!$B$16,'Savings Inputs'!$B$9,0))</f>
        <v>0</v>
      </c>
      <c r="F439" s="17">
        <f t="shared" si="12"/>
        <v>1349000</v>
      </c>
      <c r="G439" s="18">
        <f>IF(A439="","",F439/Dashboard!$B$7)</f>
        <v>8.9933333333333341</v>
      </c>
      <c r="H439" s="15">
        <f>IF(A439="","",IF(F439&gt;=Dashboard!$B$7,1,0))</f>
        <v>1</v>
      </c>
    </row>
    <row r="440" spans="1:8" ht="21" customHeight="1">
      <c r="A440" s="15">
        <f>IF('Savings Inputs'!$B$14,434,"")</f>
        <v>434</v>
      </c>
      <c r="B440" s="16">
        <f>IF(A440="","",DATE(YEAR('Savings Inputs'!$B$10),MONTH('Savings Inputs'!$B$10)+A440+1,0))</f>
        <v>59536</v>
      </c>
      <c r="C440" s="17">
        <f t="shared" si="13"/>
        <v>1349000</v>
      </c>
      <c r="D440" s="17">
        <f>IF(A440="","",'Savings Inputs'!$B$8)</f>
        <v>3000</v>
      </c>
      <c r="E440" s="17">
        <f>IF(A440="","",IF(A440='Savings Inputs'!$B$16,'Savings Inputs'!$B$9,0))</f>
        <v>0</v>
      </c>
      <c r="F440" s="17">
        <f t="shared" si="12"/>
        <v>1352000</v>
      </c>
      <c r="G440" s="18">
        <f>IF(A440="","",F440/Dashboard!$B$7)</f>
        <v>9.0133333333333336</v>
      </c>
      <c r="H440" s="15">
        <f>IF(A440="","",IF(F440&gt;=Dashboard!$B$7,1,0))</f>
        <v>1</v>
      </c>
    </row>
    <row r="441" spans="1:8" ht="21" customHeight="1">
      <c r="A441" s="15">
        <f>IF('Savings Inputs'!$B$14,435,"")</f>
        <v>435</v>
      </c>
      <c r="B441" s="16">
        <f>IF(A441="","",DATE(YEAR('Savings Inputs'!$B$10),MONTH('Savings Inputs'!$B$10)+A441+1,0))</f>
        <v>59567</v>
      </c>
      <c r="C441" s="17">
        <f t="shared" si="13"/>
        <v>1352000</v>
      </c>
      <c r="D441" s="17">
        <f>IF(A441="","",'Savings Inputs'!$B$8)</f>
        <v>3000</v>
      </c>
      <c r="E441" s="17">
        <f>IF(A441="","",IF(A441='Savings Inputs'!$B$16,'Savings Inputs'!$B$9,0))</f>
        <v>0</v>
      </c>
      <c r="F441" s="17">
        <f t="shared" si="12"/>
        <v>1355000</v>
      </c>
      <c r="G441" s="18">
        <f>IF(A441="","",F441/Dashboard!$B$7)</f>
        <v>9.0333333333333332</v>
      </c>
      <c r="H441" s="15">
        <f>IF(A441="","",IF(F441&gt;=Dashboard!$B$7,1,0))</f>
        <v>1</v>
      </c>
    </row>
    <row r="442" spans="1:8" ht="21" customHeight="1">
      <c r="A442" s="15">
        <f>IF('Savings Inputs'!$B$14,436,"")</f>
        <v>436</v>
      </c>
      <c r="B442" s="16">
        <f>IF(A442="","",DATE(YEAR('Savings Inputs'!$B$10),MONTH('Savings Inputs'!$B$10)+A442+1,0))</f>
        <v>59595</v>
      </c>
      <c r="C442" s="17">
        <f t="shared" si="13"/>
        <v>1355000</v>
      </c>
      <c r="D442" s="17">
        <f>IF(A442="","",'Savings Inputs'!$B$8)</f>
        <v>3000</v>
      </c>
      <c r="E442" s="17">
        <f>IF(A442="","",IF(A442='Savings Inputs'!$B$16,'Savings Inputs'!$B$9,0))</f>
        <v>0</v>
      </c>
      <c r="F442" s="17">
        <f t="shared" si="12"/>
        <v>1358000</v>
      </c>
      <c r="G442" s="18">
        <f>IF(A442="","",F442/Dashboard!$B$7)</f>
        <v>9.0533333333333328</v>
      </c>
      <c r="H442" s="15">
        <f>IF(A442="","",IF(F442&gt;=Dashboard!$B$7,1,0))</f>
        <v>1</v>
      </c>
    </row>
    <row r="443" spans="1:8" ht="21" customHeight="1">
      <c r="A443" s="15">
        <f>IF('Savings Inputs'!$B$14,437,"")</f>
        <v>437</v>
      </c>
      <c r="B443" s="16">
        <f>IF(A443="","",DATE(YEAR('Savings Inputs'!$B$10),MONTH('Savings Inputs'!$B$10)+A443+1,0))</f>
        <v>59626</v>
      </c>
      <c r="C443" s="17">
        <f t="shared" si="13"/>
        <v>1358000</v>
      </c>
      <c r="D443" s="17">
        <f>IF(A443="","",'Savings Inputs'!$B$8)</f>
        <v>3000</v>
      </c>
      <c r="E443" s="17">
        <f>IF(A443="","",IF(A443='Savings Inputs'!$B$16,'Savings Inputs'!$B$9,0))</f>
        <v>0</v>
      </c>
      <c r="F443" s="17">
        <f t="shared" si="12"/>
        <v>1361000</v>
      </c>
      <c r="G443" s="18">
        <f>IF(A443="","",F443/Dashboard!$B$7)</f>
        <v>9.0733333333333341</v>
      </c>
      <c r="H443" s="15">
        <f>IF(A443="","",IF(F443&gt;=Dashboard!$B$7,1,0))</f>
        <v>1</v>
      </c>
    </row>
    <row r="444" spans="1:8" ht="21" customHeight="1">
      <c r="A444" s="15">
        <f>IF('Savings Inputs'!$B$14,438,"")</f>
        <v>438</v>
      </c>
      <c r="B444" s="16">
        <f>IF(A444="","",DATE(YEAR('Savings Inputs'!$B$10),MONTH('Savings Inputs'!$B$10)+A444+1,0))</f>
        <v>59656</v>
      </c>
      <c r="C444" s="17">
        <f t="shared" si="13"/>
        <v>1361000</v>
      </c>
      <c r="D444" s="17">
        <f>IF(A444="","",'Savings Inputs'!$B$8)</f>
        <v>3000</v>
      </c>
      <c r="E444" s="17">
        <f>IF(A444="","",IF(A444='Savings Inputs'!$B$16,'Savings Inputs'!$B$9,0))</f>
        <v>0</v>
      </c>
      <c r="F444" s="17">
        <f t="shared" si="12"/>
        <v>1364000</v>
      </c>
      <c r="G444" s="18">
        <f>IF(A444="","",F444/Dashboard!$B$7)</f>
        <v>9.0933333333333337</v>
      </c>
      <c r="H444" s="15">
        <f>IF(A444="","",IF(F444&gt;=Dashboard!$B$7,1,0))</f>
        <v>1</v>
      </c>
    </row>
    <row r="445" spans="1:8" ht="21" customHeight="1">
      <c r="A445" s="15">
        <f>IF('Savings Inputs'!$B$14,439,"")</f>
        <v>439</v>
      </c>
      <c r="B445" s="16">
        <f>IF(A445="","",DATE(YEAR('Savings Inputs'!$B$10),MONTH('Savings Inputs'!$B$10)+A445+1,0))</f>
        <v>59687</v>
      </c>
      <c r="C445" s="17">
        <f t="shared" si="13"/>
        <v>1364000</v>
      </c>
      <c r="D445" s="17">
        <f>IF(A445="","",'Savings Inputs'!$B$8)</f>
        <v>3000</v>
      </c>
      <c r="E445" s="17">
        <f>IF(A445="","",IF(A445='Savings Inputs'!$B$16,'Savings Inputs'!$B$9,0))</f>
        <v>0</v>
      </c>
      <c r="F445" s="17">
        <f t="shared" si="12"/>
        <v>1367000</v>
      </c>
      <c r="G445" s="18">
        <f>IF(A445="","",F445/Dashboard!$B$7)</f>
        <v>9.1133333333333333</v>
      </c>
      <c r="H445" s="15">
        <f>IF(A445="","",IF(F445&gt;=Dashboard!$B$7,1,0))</f>
        <v>1</v>
      </c>
    </row>
    <row r="446" spans="1:8" ht="21" customHeight="1">
      <c r="A446" s="15">
        <f>IF('Savings Inputs'!$B$14,440,"")</f>
        <v>440</v>
      </c>
      <c r="B446" s="16">
        <f>IF(A446="","",DATE(YEAR('Savings Inputs'!$B$10),MONTH('Savings Inputs'!$B$10)+A446+1,0))</f>
        <v>59717</v>
      </c>
      <c r="C446" s="17">
        <f t="shared" si="13"/>
        <v>1367000</v>
      </c>
      <c r="D446" s="17">
        <f>IF(A446="","",'Savings Inputs'!$B$8)</f>
        <v>3000</v>
      </c>
      <c r="E446" s="17">
        <f>IF(A446="","",IF(A446='Savings Inputs'!$B$16,'Savings Inputs'!$B$9,0))</f>
        <v>0</v>
      </c>
      <c r="F446" s="17">
        <f t="shared" si="12"/>
        <v>1370000</v>
      </c>
      <c r="G446" s="18">
        <f>IF(A446="","",F446/Dashboard!$B$7)</f>
        <v>9.1333333333333329</v>
      </c>
      <c r="H446" s="15">
        <f>IF(A446="","",IF(F446&gt;=Dashboard!$B$7,1,0))</f>
        <v>1</v>
      </c>
    </row>
    <row r="447" spans="1:8" ht="21" customHeight="1">
      <c r="A447" s="15">
        <f>IF('Savings Inputs'!$B$14,441,"")</f>
        <v>441</v>
      </c>
      <c r="B447" s="16">
        <f>IF(A447="","",DATE(YEAR('Savings Inputs'!$B$10),MONTH('Savings Inputs'!$B$10)+A447+1,0))</f>
        <v>59748</v>
      </c>
      <c r="C447" s="17">
        <f t="shared" si="13"/>
        <v>1370000</v>
      </c>
      <c r="D447" s="17">
        <f>IF(A447="","",'Savings Inputs'!$B$8)</f>
        <v>3000</v>
      </c>
      <c r="E447" s="17">
        <f>IF(A447="","",IF(A447='Savings Inputs'!$B$16,'Savings Inputs'!$B$9,0))</f>
        <v>0</v>
      </c>
      <c r="F447" s="17">
        <f t="shared" si="12"/>
        <v>1373000</v>
      </c>
      <c r="G447" s="18">
        <f>IF(A447="","",F447/Dashboard!$B$7)</f>
        <v>9.1533333333333342</v>
      </c>
      <c r="H447" s="15">
        <f>IF(A447="","",IF(F447&gt;=Dashboard!$B$7,1,0))</f>
        <v>1</v>
      </c>
    </row>
    <row r="448" spans="1:8" ht="21" customHeight="1">
      <c r="A448" s="15">
        <f>IF('Savings Inputs'!$B$14,442,"")</f>
        <v>442</v>
      </c>
      <c r="B448" s="16">
        <f>IF(A448="","",DATE(YEAR('Savings Inputs'!$B$10),MONTH('Savings Inputs'!$B$10)+A448+1,0))</f>
        <v>59779</v>
      </c>
      <c r="C448" s="17">
        <f t="shared" si="13"/>
        <v>1373000</v>
      </c>
      <c r="D448" s="17">
        <f>IF(A448="","",'Savings Inputs'!$B$8)</f>
        <v>3000</v>
      </c>
      <c r="E448" s="17">
        <f>IF(A448="","",IF(A448='Savings Inputs'!$B$16,'Savings Inputs'!$B$9,0))</f>
        <v>0</v>
      </c>
      <c r="F448" s="17">
        <f t="shared" si="12"/>
        <v>1376000</v>
      </c>
      <c r="G448" s="18">
        <f>IF(A448="","",F448/Dashboard!$B$7)</f>
        <v>9.1733333333333338</v>
      </c>
      <c r="H448" s="15">
        <f>IF(A448="","",IF(F448&gt;=Dashboard!$B$7,1,0))</f>
        <v>1</v>
      </c>
    </row>
    <row r="449" spans="1:8" ht="21" customHeight="1">
      <c r="A449" s="15">
        <f>IF('Savings Inputs'!$B$14,443,"")</f>
        <v>443</v>
      </c>
      <c r="B449" s="16">
        <f>IF(A449="","",DATE(YEAR('Savings Inputs'!$B$10),MONTH('Savings Inputs'!$B$10)+A449+1,0))</f>
        <v>59809</v>
      </c>
      <c r="C449" s="17">
        <f t="shared" si="13"/>
        <v>1376000</v>
      </c>
      <c r="D449" s="17">
        <f>IF(A449="","",'Savings Inputs'!$B$8)</f>
        <v>3000</v>
      </c>
      <c r="E449" s="17">
        <f>IF(A449="","",IF(A449='Savings Inputs'!$B$16,'Savings Inputs'!$B$9,0))</f>
        <v>0</v>
      </c>
      <c r="F449" s="17">
        <f t="shared" si="12"/>
        <v>1379000</v>
      </c>
      <c r="G449" s="18">
        <f>IF(A449="","",F449/Dashboard!$B$7)</f>
        <v>9.1933333333333334</v>
      </c>
      <c r="H449" s="15">
        <f>IF(A449="","",IF(F449&gt;=Dashboard!$B$7,1,0))</f>
        <v>1</v>
      </c>
    </row>
    <row r="450" spans="1:8" ht="21" customHeight="1">
      <c r="A450" s="15">
        <f>IF('Savings Inputs'!$B$14,444,"")</f>
        <v>444</v>
      </c>
      <c r="B450" s="16">
        <f>IF(A450="","",DATE(YEAR('Savings Inputs'!$B$10),MONTH('Savings Inputs'!$B$10)+A450+1,0))</f>
        <v>59840</v>
      </c>
      <c r="C450" s="17">
        <f t="shared" si="13"/>
        <v>1379000</v>
      </c>
      <c r="D450" s="17">
        <f>IF(A450="","",'Savings Inputs'!$B$8)</f>
        <v>3000</v>
      </c>
      <c r="E450" s="17">
        <f>IF(A450="","",IF(A450='Savings Inputs'!$B$16,'Savings Inputs'!$B$9,0))</f>
        <v>0</v>
      </c>
      <c r="F450" s="17">
        <f t="shared" si="12"/>
        <v>1382000</v>
      </c>
      <c r="G450" s="18">
        <f>IF(A450="","",F450/Dashboard!$B$7)</f>
        <v>9.2133333333333329</v>
      </c>
      <c r="H450" s="15">
        <f>IF(A450="","",IF(F450&gt;=Dashboard!$B$7,1,0))</f>
        <v>1</v>
      </c>
    </row>
    <row r="451" spans="1:8" ht="21" customHeight="1">
      <c r="A451" s="15">
        <f>IF('Savings Inputs'!$B$14,445,"")</f>
        <v>445</v>
      </c>
      <c r="B451" s="16">
        <f>IF(A451="","",DATE(YEAR('Savings Inputs'!$B$10),MONTH('Savings Inputs'!$B$10)+A451+1,0))</f>
        <v>59870</v>
      </c>
      <c r="C451" s="17">
        <f t="shared" si="13"/>
        <v>1382000</v>
      </c>
      <c r="D451" s="17">
        <f>IF(A451="","",'Savings Inputs'!$B$8)</f>
        <v>3000</v>
      </c>
      <c r="E451" s="17">
        <f>IF(A451="","",IF(A451='Savings Inputs'!$B$16,'Savings Inputs'!$B$9,0))</f>
        <v>0</v>
      </c>
      <c r="F451" s="17">
        <f t="shared" si="12"/>
        <v>1385000</v>
      </c>
      <c r="G451" s="18">
        <f>IF(A451="","",F451/Dashboard!$B$7)</f>
        <v>9.2333333333333325</v>
      </c>
      <c r="H451" s="15">
        <f>IF(A451="","",IF(F451&gt;=Dashboard!$B$7,1,0))</f>
        <v>1</v>
      </c>
    </row>
    <row r="452" spans="1:8" ht="21" customHeight="1">
      <c r="A452" s="15">
        <f>IF('Savings Inputs'!$B$14,446,"")</f>
        <v>446</v>
      </c>
      <c r="B452" s="16">
        <f>IF(A452="","",DATE(YEAR('Savings Inputs'!$B$10),MONTH('Savings Inputs'!$B$10)+A452+1,0))</f>
        <v>59901</v>
      </c>
      <c r="C452" s="17">
        <f t="shared" si="13"/>
        <v>1385000</v>
      </c>
      <c r="D452" s="17">
        <f>IF(A452="","",'Savings Inputs'!$B$8)</f>
        <v>3000</v>
      </c>
      <c r="E452" s="17">
        <f>IF(A452="","",IF(A452='Savings Inputs'!$B$16,'Savings Inputs'!$B$9,0))</f>
        <v>0</v>
      </c>
      <c r="F452" s="17">
        <f t="shared" si="12"/>
        <v>1388000</v>
      </c>
      <c r="G452" s="18">
        <f>IF(A452="","",F452/Dashboard!$B$7)</f>
        <v>9.2533333333333339</v>
      </c>
      <c r="H452" s="15">
        <f>IF(A452="","",IF(F452&gt;=Dashboard!$B$7,1,0))</f>
        <v>1</v>
      </c>
    </row>
    <row r="453" spans="1:8" ht="21" customHeight="1">
      <c r="A453" s="15">
        <f>IF('Savings Inputs'!$B$14,447,"")</f>
        <v>447</v>
      </c>
      <c r="B453" s="16">
        <f>IF(A453="","",DATE(YEAR('Savings Inputs'!$B$10),MONTH('Savings Inputs'!$B$10)+A453+1,0))</f>
        <v>59932</v>
      </c>
      <c r="C453" s="17">
        <f t="shared" si="13"/>
        <v>1388000</v>
      </c>
      <c r="D453" s="17">
        <f>IF(A453="","",'Savings Inputs'!$B$8)</f>
        <v>3000</v>
      </c>
      <c r="E453" s="17">
        <f>IF(A453="","",IF(A453='Savings Inputs'!$B$16,'Savings Inputs'!$B$9,0))</f>
        <v>0</v>
      </c>
      <c r="F453" s="17">
        <f t="shared" si="12"/>
        <v>1391000</v>
      </c>
      <c r="G453" s="18">
        <f>IF(A453="","",F453/Dashboard!$B$7)</f>
        <v>9.2733333333333334</v>
      </c>
      <c r="H453" s="15">
        <f>IF(A453="","",IF(F453&gt;=Dashboard!$B$7,1,0))</f>
        <v>1</v>
      </c>
    </row>
    <row r="454" spans="1:8" ht="21" customHeight="1">
      <c r="A454" s="15">
        <f>IF('Savings Inputs'!$B$14,448,"")</f>
        <v>448</v>
      </c>
      <c r="B454" s="16">
        <f>IF(A454="","",DATE(YEAR('Savings Inputs'!$B$10),MONTH('Savings Inputs'!$B$10)+A454+1,0))</f>
        <v>59961</v>
      </c>
      <c r="C454" s="17">
        <f t="shared" si="13"/>
        <v>1391000</v>
      </c>
      <c r="D454" s="17">
        <f>IF(A454="","",'Savings Inputs'!$B$8)</f>
        <v>3000</v>
      </c>
      <c r="E454" s="17">
        <f>IF(A454="","",IF(A454='Savings Inputs'!$B$16,'Savings Inputs'!$B$9,0))</f>
        <v>0</v>
      </c>
      <c r="F454" s="17">
        <f t="shared" si="12"/>
        <v>1394000</v>
      </c>
      <c r="G454" s="18">
        <f>IF(A454="","",F454/Dashboard!$B$7)</f>
        <v>9.293333333333333</v>
      </c>
      <c r="H454" s="15">
        <f>IF(A454="","",IF(F454&gt;=Dashboard!$B$7,1,0))</f>
        <v>1</v>
      </c>
    </row>
    <row r="455" spans="1:8" ht="21" customHeight="1">
      <c r="A455" s="15">
        <f>IF('Savings Inputs'!$B$14,449,"")</f>
        <v>449</v>
      </c>
      <c r="B455" s="16">
        <f>IF(A455="","",DATE(YEAR('Savings Inputs'!$B$10),MONTH('Savings Inputs'!$B$10)+A455+1,0))</f>
        <v>59992</v>
      </c>
      <c r="C455" s="17">
        <f t="shared" si="13"/>
        <v>1394000</v>
      </c>
      <c r="D455" s="17">
        <f>IF(A455="","",'Savings Inputs'!$B$8)</f>
        <v>3000</v>
      </c>
      <c r="E455" s="17">
        <f>IF(A455="","",IF(A455='Savings Inputs'!$B$16,'Savings Inputs'!$B$9,0))</f>
        <v>0</v>
      </c>
      <c r="F455" s="17">
        <f t="shared" ref="F455:F486" si="14">IF(A455="","",SUM(C455:E455))</f>
        <v>1397000</v>
      </c>
      <c r="G455" s="18">
        <f>IF(A455="","",F455/Dashboard!$B$7)</f>
        <v>9.3133333333333326</v>
      </c>
      <c r="H455" s="15">
        <f>IF(A455="","",IF(F455&gt;=Dashboard!$B$7,1,0))</f>
        <v>1</v>
      </c>
    </row>
    <row r="456" spans="1:8" ht="21" customHeight="1">
      <c r="A456" s="15">
        <f>IF('Savings Inputs'!$B$14,450,"")</f>
        <v>450</v>
      </c>
      <c r="B456" s="16">
        <f>IF(A456="","",DATE(YEAR('Savings Inputs'!$B$10),MONTH('Savings Inputs'!$B$10)+A456+1,0))</f>
        <v>60022</v>
      </c>
      <c r="C456" s="17">
        <f t="shared" ref="C456:C486" si="15">IF(A456="","",F455)</f>
        <v>1397000</v>
      </c>
      <c r="D456" s="17">
        <f>IF(A456="","",'Savings Inputs'!$B$8)</f>
        <v>3000</v>
      </c>
      <c r="E456" s="17">
        <f>IF(A456="","",IF(A456='Savings Inputs'!$B$16,'Savings Inputs'!$B$9,0))</f>
        <v>0</v>
      </c>
      <c r="F456" s="17">
        <f t="shared" si="14"/>
        <v>1400000</v>
      </c>
      <c r="G456" s="18">
        <f>IF(A456="","",F456/Dashboard!$B$7)</f>
        <v>9.3333333333333339</v>
      </c>
      <c r="H456" s="15">
        <f>IF(A456="","",IF(F456&gt;=Dashboard!$B$7,1,0))</f>
        <v>1</v>
      </c>
    </row>
    <row r="457" spans="1:8" ht="21" customHeight="1">
      <c r="A457" s="15">
        <f>IF('Savings Inputs'!$B$14,451,"")</f>
        <v>451</v>
      </c>
      <c r="B457" s="16">
        <f>IF(A457="","",DATE(YEAR('Savings Inputs'!$B$10),MONTH('Savings Inputs'!$B$10)+A457+1,0))</f>
        <v>60053</v>
      </c>
      <c r="C457" s="17">
        <f t="shared" si="15"/>
        <v>1400000</v>
      </c>
      <c r="D457" s="17">
        <f>IF(A457="","",'Savings Inputs'!$B$8)</f>
        <v>3000</v>
      </c>
      <c r="E457" s="17">
        <f>IF(A457="","",IF(A457='Savings Inputs'!$B$16,'Savings Inputs'!$B$9,0))</f>
        <v>0</v>
      </c>
      <c r="F457" s="17">
        <f t="shared" si="14"/>
        <v>1403000</v>
      </c>
      <c r="G457" s="18">
        <f>IF(A457="","",F457/Dashboard!$B$7)</f>
        <v>9.3533333333333335</v>
      </c>
      <c r="H457" s="15">
        <f>IF(A457="","",IF(F457&gt;=Dashboard!$B$7,1,0))</f>
        <v>1</v>
      </c>
    </row>
    <row r="458" spans="1:8" ht="21" customHeight="1">
      <c r="A458" s="15">
        <f>IF('Savings Inputs'!$B$14,452,"")</f>
        <v>452</v>
      </c>
      <c r="B458" s="16">
        <f>IF(A458="","",DATE(YEAR('Savings Inputs'!$B$10),MONTH('Savings Inputs'!$B$10)+A458+1,0))</f>
        <v>60083</v>
      </c>
      <c r="C458" s="17">
        <f t="shared" si="15"/>
        <v>1403000</v>
      </c>
      <c r="D458" s="17">
        <f>IF(A458="","",'Savings Inputs'!$B$8)</f>
        <v>3000</v>
      </c>
      <c r="E458" s="17">
        <f>IF(A458="","",IF(A458='Savings Inputs'!$B$16,'Savings Inputs'!$B$9,0))</f>
        <v>0</v>
      </c>
      <c r="F458" s="17">
        <f t="shared" si="14"/>
        <v>1406000</v>
      </c>
      <c r="G458" s="18">
        <f>IF(A458="","",F458/Dashboard!$B$7)</f>
        <v>9.3733333333333331</v>
      </c>
      <c r="H458" s="15">
        <f>IF(A458="","",IF(F458&gt;=Dashboard!$B$7,1,0))</f>
        <v>1</v>
      </c>
    </row>
    <row r="459" spans="1:8" ht="21" customHeight="1">
      <c r="A459" s="15">
        <f>IF('Savings Inputs'!$B$14,453,"")</f>
        <v>453</v>
      </c>
      <c r="B459" s="16">
        <f>IF(A459="","",DATE(YEAR('Savings Inputs'!$B$10),MONTH('Savings Inputs'!$B$10)+A459+1,0))</f>
        <v>60114</v>
      </c>
      <c r="C459" s="17">
        <f t="shared" si="15"/>
        <v>1406000</v>
      </c>
      <c r="D459" s="17">
        <f>IF(A459="","",'Savings Inputs'!$B$8)</f>
        <v>3000</v>
      </c>
      <c r="E459" s="17">
        <f>IF(A459="","",IF(A459='Savings Inputs'!$B$16,'Savings Inputs'!$B$9,0))</f>
        <v>0</v>
      </c>
      <c r="F459" s="17">
        <f t="shared" si="14"/>
        <v>1409000</v>
      </c>
      <c r="G459" s="18">
        <f>IF(A459="","",F459/Dashboard!$B$7)</f>
        <v>9.3933333333333326</v>
      </c>
      <c r="H459" s="15">
        <f>IF(A459="","",IF(F459&gt;=Dashboard!$B$7,1,0))</f>
        <v>1</v>
      </c>
    </row>
    <row r="460" spans="1:8" ht="21" customHeight="1">
      <c r="A460" s="15">
        <f>IF('Savings Inputs'!$B$14,454,"")</f>
        <v>454</v>
      </c>
      <c r="B460" s="16">
        <f>IF(A460="","",DATE(YEAR('Savings Inputs'!$B$10),MONTH('Savings Inputs'!$B$10)+A460+1,0))</f>
        <v>60145</v>
      </c>
      <c r="C460" s="17">
        <f t="shared" si="15"/>
        <v>1409000</v>
      </c>
      <c r="D460" s="17">
        <f>IF(A460="","",'Savings Inputs'!$B$8)</f>
        <v>3000</v>
      </c>
      <c r="E460" s="17">
        <f>IF(A460="","",IF(A460='Savings Inputs'!$B$16,'Savings Inputs'!$B$9,0))</f>
        <v>0</v>
      </c>
      <c r="F460" s="17">
        <f t="shared" si="14"/>
        <v>1412000</v>
      </c>
      <c r="G460" s="18">
        <f>IF(A460="","",F460/Dashboard!$B$7)</f>
        <v>9.413333333333334</v>
      </c>
      <c r="H460" s="15">
        <f>IF(A460="","",IF(F460&gt;=Dashboard!$B$7,1,0))</f>
        <v>1</v>
      </c>
    </row>
    <row r="461" spans="1:8" ht="21" customHeight="1">
      <c r="A461" s="15">
        <f>IF('Savings Inputs'!$B$14,455,"")</f>
        <v>455</v>
      </c>
      <c r="B461" s="16">
        <f>IF(A461="","",DATE(YEAR('Savings Inputs'!$B$10),MONTH('Savings Inputs'!$B$10)+A461+1,0))</f>
        <v>60175</v>
      </c>
      <c r="C461" s="17">
        <f t="shared" si="15"/>
        <v>1412000</v>
      </c>
      <c r="D461" s="17">
        <f>IF(A461="","",'Savings Inputs'!$B$8)</f>
        <v>3000</v>
      </c>
      <c r="E461" s="17">
        <f>IF(A461="","",IF(A461='Savings Inputs'!$B$16,'Savings Inputs'!$B$9,0))</f>
        <v>0</v>
      </c>
      <c r="F461" s="17">
        <f t="shared" si="14"/>
        <v>1415000</v>
      </c>
      <c r="G461" s="18">
        <f>IF(A461="","",F461/Dashboard!$B$7)</f>
        <v>9.4333333333333336</v>
      </c>
      <c r="H461" s="15">
        <f>IF(A461="","",IF(F461&gt;=Dashboard!$B$7,1,0))</f>
        <v>1</v>
      </c>
    </row>
    <row r="462" spans="1:8" ht="21" customHeight="1">
      <c r="A462" s="15">
        <f>IF('Savings Inputs'!$B$14,456,"")</f>
        <v>456</v>
      </c>
      <c r="B462" s="16">
        <f>IF(A462="","",DATE(YEAR('Savings Inputs'!$B$10),MONTH('Savings Inputs'!$B$10)+A462+1,0))</f>
        <v>60206</v>
      </c>
      <c r="C462" s="17">
        <f t="shared" si="15"/>
        <v>1415000</v>
      </c>
      <c r="D462" s="17">
        <f>IF(A462="","",'Savings Inputs'!$B$8)</f>
        <v>3000</v>
      </c>
      <c r="E462" s="17">
        <f>IF(A462="","",IF(A462='Savings Inputs'!$B$16,'Savings Inputs'!$B$9,0))</f>
        <v>0</v>
      </c>
      <c r="F462" s="17">
        <f t="shared" si="14"/>
        <v>1418000</v>
      </c>
      <c r="G462" s="18">
        <f>IF(A462="","",F462/Dashboard!$B$7)</f>
        <v>9.4533333333333331</v>
      </c>
      <c r="H462" s="15">
        <f>IF(A462="","",IF(F462&gt;=Dashboard!$B$7,1,0))</f>
        <v>1</v>
      </c>
    </row>
    <row r="463" spans="1:8" ht="21" customHeight="1">
      <c r="A463" s="15">
        <f>IF('Savings Inputs'!$B$14,457,"")</f>
        <v>457</v>
      </c>
      <c r="B463" s="16">
        <f>IF(A463="","",DATE(YEAR('Savings Inputs'!$B$10),MONTH('Savings Inputs'!$B$10)+A463+1,0))</f>
        <v>60236</v>
      </c>
      <c r="C463" s="17">
        <f t="shared" si="15"/>
        <v>1418000</v>
      </c>
      <c r="D463" s="17">
        <f>IF(A463="","",'Savings Inputs'!$B$8)</f>
        <v>3000</v>
      </c>
      <c r="E463" s="17">
        <f>IF(A463="","",IF(A463='Savings Inputs'!$B$16,'Savings Inputs'!$B$9,0))</f>
        <v>0</v>
      </c>
      <c r="F463" s="17">
        <f t="shared" si="14"/>
        <v>1421000</v>
      </c>
      <c r="G463" s="18">
        <f>IF(A463="","",F463/Dashboard!$B$7)</f>
        <v>9.4733333333333327</v>
      </c>
      <c r="H463" s="15">
        <f>IF(A463="","",IF(F463&gt;=Dashboard!$B$7,1,0))</f>
        <v>1</v>
      </c>
    </row>
    <row r="464" spans="1:8" ht="21" customHeight="1">
      <c r="A464" s="15">
        <f>IF('Savings Inputs'!$B$14,458,"")</f>
        <v>458</v>
      </c>
      <c r="B464" s="16">
        <f>IF(A464="","",DATE(YEAR('Savings Inputs'!$B$10),MONTH('Savings Inputs'!$B$10)+A464+1,0))</f>
        <v>60267</v>
      </c>
      <c r="C464" s="17">
        <f t="shared" si="15"/>
        <v>1421000</v>
      </c>
      <c r="D464" s="17">
        <f>IF(A464="","",'Savings Inputs'!$B$8)</f>
        <v>3000</v>
      </c>
      <c r="E464" s="17">
        <f>IF(A464="","",IF(A464='Savings Inputs'!$B$16,'Savings Inputs'!$B$9,0))</f>
        <v>0</v>
      </c>
      <c r="F464" s="17">
        <f t="shared" si="14"/>
        <v>1424000</v>
      </c>
      <c r="G464" s="18">
        <f>IF(A464="","",F464/Dashboard!$B$7)</f>
        <v>9.4933333333333341</v>
      </c>
      <c r="H464" s="15">
        <f>IF(A464="","",IF(F464&gt;=Dashboard!$B$7,1,0))</f>
        <v>1</v>
      </c>
    </row>
    <row r="465" spans="1:8" ht="21" customHeight="1">
      <c r="A465" s="15">
        <f>IF('Savings Inputs'!$B$14,459,"")</f>
        <v>459</v>
      </c>
      <c r="B465" s="16">
        <f>IF(A465="","",DATE(YEAR('Savings Inputs'!$B$10),MONTH('Savings Inputs'!$B$10)+A465+1,0))</f>
        <v>60298</v>
      </c>
      <c r="C465" s="17">
        <f t="shared" si="15"/>
        <v>1424000</v>
      </c>
      <c r="D465" s="17">
        <f>IF(A465="","",'Savings Inputs'!$B$8)</f>
        <v>3000</v>
      </c>
      <c r="E465" s="17">
        <f>IF(A465="","",IF(A465='Savings Inputs'!$B$16,'Savings Inputs'!$B$9,0))</f>
        <v>0</v>
      </c>
      <c r="F465" s="17">
        <f t="shared" si="14"/>
        <v>1427000</v>
      </c>
      <c r="G465" s="18">
        <f>IF(A465="","",F465/Dashboard!$B$7)</f>
        <v>9.5133333333333336</v>
      </c>
      <c r="H465" s="15">
        <f>IF(A465="","",IF(F465&gt;=Dashboard!$B$7,1,0))</f>
        <v>1</v>
      </c>
    </row>
    <row r="466" spans="1:8" ht="21" customHeight="1">
      <c r="A466" s="15">
        <f>IF('Savings Inputs'!$B$14,460,"")</f>
        <v>460</v>
      </c>
      <c r="B466" s="16">
        <f>IF(A466="","",DATE(YEAR('Savings Inputs'!$B$10),MONTH('Savings Inputs'!$B$10)+A466+1,0))</f>
        <v>60326</v>
      </c>
      <c r="C466" s="17">
        <f t="shared" si="15"/>
        <v>1427000</v>
      </c>
      <c r="D466" s="17">
        <f>IF(A466="","",'Savings Inputs'!$B$8)</f>
        <v>3000</v>
      </c>
      <c r="E466" s="17">
        <f>IF(A466="","",IF(A466='Savings Inputs'!$B$16,'Savings Inputs'!$B$9,0))</f>
        <v>0</v>
      </c>
      <c r="F466" s="17">
        <f t="shared" si="14"/>
        <v>1430000</v>
      </c>
      <c r="G466" s="18">
        <f>IF(A466="","",F466/Dashboard!$B$7)</f>
        <v>9.5333333333333332</v>
      </c>
      <c r="H466" s="15">
        <f>IF(A466="","",IF(F466&gt;=Dashboard!$B$7,1,0))</f>
        <v>1</v>
      </c>
    </row>
    <row r="467" spans="1:8" ht="21" customHeight="1">
      <c r="A467" s="15">
        <f>IF('Savings Inputs'!$B$14,461,"")</f>
        <v>461</v>
      </c>
      <c r="B467" s="16">
        <f>IF(A467="","",DATE(YEAR('Savings Inputs'!$B$10),MONTH('Savings Inputs'!$B$10)+A467+1,0))</f>
        <v>60357</v>
      </c>
      <c r="C467" s="17">
        <f t="shared" si="15"/>
        <v>1430000</v>
      </c>
      <c r="D467" s="17">
        <f>IF(A467="","",'Savings Inputs'!$B$8)</f>
        <v>3000</v>
      </c>
      <c r="E467" s="17">
        <f>IF(A467="","",IF(A467='Savings Inputs'!$B$16,'Savings Inputs'!$B$9,0))</f>
        <v>0</v>
      </c>
      <c r="F467" s="17">
        <f t="shared" si="14"/>
        <v>1433000</v>
      </c>
      <c r="G467" s="18">
        <f>IF(A467="","",F467/Dashboard!$B$7)</f>
        <v>9.5533333333333328</v>
      </c>
      <c r="H467" s="15">
        <f>IF(A467="","",IF(F467&gt;=Dashboard!$B$7,1,0))</f>
        <v>1</v>
      </c>
    </row>
    <row r="468" spans="1:8" ht="21" customHeight="1">
      <c r="A468" s="15">
        <f>IF('Savings Inputs'!$B$14,462,"")</f>
        <v>462</v>
      </c>
      <c r="B468" s="16">
        <f>IF(A468="","",DATE(YEAR('Savings Inputs'!$B$10),MONTH('Savings Inputs'!$B$10)+A468+1,0))</f>
        <v>60387</v>
      </c>
      <c r="C468" s="17">
        <f t="shared" si="15"/>
        <v>1433000</v>
      </c>
      <c r="D468" s="17">
        <f>IF(A468="","",'Savings Inputs'!$B$8)</f>
        <v>3000</v>
      </c>
      <c r="E468" s="17">
        <f>IF(A468="","",IF(A468='Savings Inputs'!$B$16,'Savings Inputs'!$B$9,0))</f>
        <v>0</v>
      </c>
      <c r="F468" s="17">
        <f t="shared" si="14"/>
        <v>1436000</v>
      </c>
      <c r="G468" s="18">
        <f>IF(A468="","",F468/Dashboard!$B$7)</f>
        <v>9.5733333333333341</v>
      </c>
      <c r="H468" s="15">
        <f>IF(A468="","",IF(F468&gt;=Dashboard!$B$7,1,0))</f>
        <v>1</v>
      </c>
    </row>
    <row r="469" spans="1:8" ht="21" customHeight="1">
      <c r="A469" s="15">
        <f>IF('Savings Inputs'!$B$14,463,"")</f>
        <v>463</v>
      </c>
      <c r="B469" s="16">
        <f>IF(A469="","",DATE(YEAR('Savings Inputs'!$B$10),MONTH('Savings Inputs'!$B$10)+A469+1,0))</f>
        <v>60418</v>
      </c>
      <c r="C469" s="17">
        <f t="shared" si="15"/>
        <v>1436000</v>
      </c>
      <c r="D469" s="17">
        <f>IF(A469="","",'Savings Inputs'!$B$8)</f>
        <v>3000</v>
      </c>
      <c r="E469" s="17">
        <f>IF(A469="","",IF(A469='Savings Inputs'!$B$16,'Savings Inputs'!$B$9,0))</f>
        <v>0</v>
      </c>
      <c r="F469" s="17">
        <f t="shared" si="14"/>
        <v>1439000</v>
      </c>
      <c r="G469" s="18">
        <f>IF(A469="","",F469/Dashboard!$B$7)</f>
        <v>9.5933333333333337</v>
      </c>
      <c r="H469" s="15">
        <f>IF(A469="","",IF(F469&gt;=Dashboard!$B$7,1,0))</f>
        <v>1</v>
      </c>
    </row>
    <row r="470" spans="1:8" ht="21" customHeight="1">
      <c r="A470" s="15">
        <f>IF('Savings Inputs'!$B$14,464,"")</f>
        <v>464</v>
      </c>
      <c r="B470" s="16">
        <f>IF(A470="","",DATE(YEAR('Savings Inputs'!$B$10),MONTH('Savings Inputs'!$B$10)+A470+1,0))</f>
        <v>60448</v>
      </c>
      <c r="C470" s="17">
        <f t="shared" si="15"/>
        <v>1439000</v>
      </c>
      <c r="D470" s="17">
        <f>IF(A470="","",'Savings Inputs'!$B$8)</f>
        <v>3000</v>
      </c>
      <c r="E470" s="17">
        <f>IF(A470="","",IF(A470='Savings Inputs'!$B$16,'Savings Inputs'!$B$9,0))</f>
        <v>0</v>
      </c>
      <c r="F470" s="17">
        <f t="shared" si="14"/>
        <v>1442000</v>
      </c>
      <c r="G470" s="18">
        <f>IF(A470="","",F470/Dashboard!$B$7)</f>
        <v>9.6133333333333333</v>
      </c>
      <c r="H470" s="15">
        <f>IF(A470="","",IF(F470&gt;=Dashboard!$B$7,1,0))</f>
        <v>1</v>
      </c>
    </row>
    <row r="471" spans="1:8" ht="21" customHeight="1">
      <c r="A471" s="15">
        <f>IF('Savings Inputs'!$B$14,465,"")</f>
        <v>465</v>
      </c>
      <c r="B471" s="16">
        <f>IF(A471="","",DATE(YEAR('Savings Inputs'!$B$10),MONTH('Savings Inputs'!$B$10)+A471+1,0))</f>
        <v>60479</v>
      </c>
      <c r="C471" s="17">
        <f t="shared" si="15"/>
        <v>1442000</v>
      </c>
      <c r="D471" s="17">
        <f>IF(A471="","",'Savings Inputs'!$B$8)</f>
        <v>3000</v>
      </c>
      <c r="E471" s="17">
        <f>IF(A471="","",IF(A471='Savings Inputs'!$B$16,'Savings Inputs'!$B$9,0))</f>
        <v>0</v>
      </c>
      <c r="F471" s="17">
        <f t="shared" si="14"/>
        <v>1445000</v>
      </c>
      <c r="G471" s="18">
        <f>IF(A471="","",F471/Dashboard!$B$7)</f>
        <v>9.6333333333333329</v>
      </c>
      <c r="H471" s="15">
        <f>IF(A471="","",IF(F471&gt;=Dashboard!$B$7,1,0))</f>
        <v>1</v>
      </c>
    </row>
    <row r="472" spans="1:8" ht="21" customHeight="1">
      <c r="A472" s="15">
        <f>IF('Savings Inputs'!$B$14,466,"")</f>
        <v>466</v>
      </c>
      <c r="B472" s="16">
        <f>IF(A472="","",DATE(YEAR('Savings Inputs'!$B$10),MONTH('Savings Inputs'!$B$10)+A472+1,0))</f>
        <v>60510</v>
      </c>
      <c r="C472" s="17">
        <f t="shared" si="15"/>
        <v>1445000</v>
      </c>
      <c r="D472" s="17">
        <f>IF(A472="","",'Savings Inputs'!$B$8)</f>
        <v>3000</v>
      </c>
      <c r="E472" s="17">
        <f>IF(A472="","",IF(A472='Savings Inputs'!$B$16,'Savings Inputs'!$B$9,0))</f>
        <v>0</v>
      </c>
      <c r="F472" s="17">
        <f t="shared" si="14"/>
        <v>1448000</v>
      </c>
      <c r="G472" s="18">
        <f>IF(A472="","",F472/Dashboard!$B$7)</f>
        <v>9.6533333333333342</v>
      </c>
      <c r="H472" s="15">
        <f>IF(A472="","",IF(F472&gt;=Dashboard!$B$7,1,0))</f>
        <v>1</v>
      </c>
    </row>
    <row r="473" spans="1:8" ht="21" customHeight="1">
      <c r="A473" s="15">
        <f>IF('Savings Inputs'!$B$14,467,"")</f>
        <v>467</v>
      </c>
      <c r="B473" s="16">
        <f>IF(A473="","",DATE(YEAR('Savings Inputs'!$B$10),MONTH('Savings Inputs'!$B$10)+A473+1,0))</f>
        <v>60540</v>
      </c>
      <c r="C473" s="17">
        <f t="shared" si="15"/>
        <v>1448000</v>
      </c>
      <c r="D473" s="17">
        <f>IF(A473="","",'Savings Inputs'!$B$8)</f>
        <v>3000</v>
      </c>
      <c r="E473" s="17">
        <f>IF(A473="","",IF(A473='Savings Inputs'!$B$16,'Savings Inputs'!$B$9,0))</f>
        <v>0</v>
      </c>
      <c r="F473" s="17">
        <f t="shared" si="14"/>
        <v>1451000</v>
      </c>
      <c r="G473" s="18">
        <f>IF(A473="","",F473/Dashboard!$B$7)</f>
        <v>9.6733333333333338</v>
      </c>
      <c r="H473" s="15">
        <f>IF(A473="","",IF(F473&gt;=Dashboard!$B$7,1,0))</f>
        <v>1</v>
      </c>
    </row>
    <row r="474" spans="1:8" ht="21" customHeight="1">
      <c r="A474" s="15">
        <f>IF('Savings Inputs'!$B$14,468,"")</f>
        <v>468</v>
      </c>
      <c r="B474" s="16">
        <f>IF(A474="","",DATE(YEAR('Savings Inputs'!$B$10),MONTH('Savings Inputs'!$B$10)+A474+1,0))</f>
        <v>60571</v>
      </c>
      <c r="C474" s="17">
        <f t="shared" si="15"/>
        <v>1451000</v>
      </c>
      <c r="D474" s="17">
        <f>IF(A474="","",'Savings Inputs'!$B$8)</f>
        <v>3000</v>
      </c>
      <c r="E474" s="17">
        <f>IF(A474="","",IF(A474='Savings Inputs'!$B$16,'Savings Inputs'!$B$9,0))</f>
        <v>0</v>
      </c>
      <c r="F474" s="17">
        <f t="shared" si="14"/>
        <v>1454000</v>
      </c>
      <c r="G474" s="18">
        <f>IF(A474="","",F474/Dashboard!$B$7)</f>
        <v>9.6933333333333334</v>
      </c>
      <c r="H474" s="15">
        <f>IF(A474="","",IF(F474&gt;=Dashboard!$B$7,1,0))</f>
        <v>1</v>
      </c>
    </row>
    <row r="475" spans="1:8" ht="21" customHeight="1">
      <c r="A475" s="15">
        <f>IF('Savings Inputs'!$B$14,469,"")</f>
        <v>469</v>
      </c>
      <c r="B475" s="16">
        <f>IF(A475="","",DATE(YEAR('Savings Inputs'!$B$10),MONTH('Savings Inputs'!$B$10)+A475+1,0))</f>
        <v>60601</v>
      </c>
      <c r="C475" s="17">
        <f t="shared" si="15"/>
        <v>1454000</v>
      </c>
      <c r="D475" s="17">
        <f>IF(A475="","",'Savings Inputs'!$B$8)</f>
        <v>3000</v>
      </c>
      <c r="E475" s="17">
        <f>IF(A475="","",IF(A475='Savings Inputs'!$B$16,'Savings Inputs'!$B$9,0))</f>
        <v>0</v>
      </c>
      <c r="F475" s="17">
        <f t="shared" si="14"/>
        <v>1457000</v>
      </c>
      <c r="G475" s="18">
        <f>IF(A475="","",F475/Dashboard!$B$7)</f>
        <v>9.7133333333333329</v>
      </c>
      <c r="H475" s="15">
        <f>IF(A475="","",IF(F475&gt;=Dashboard!$B$7,1,0))</f>
        <v>1</v>
      </c>
    </row>
    <row r="476" spans="1:8" ht="21" customHeight="1">
      <c r="A476" s="15">
        <f>IF('Savings Inputs'!$B$14,470,"")</f>
        <v>470</v>
      </c>
      <c r="B476" s="16">
        <f>IF(A476="","",DATE(YEAR('Savings Inputs'!$B$10),MONTH('Savings Inputs'!$B$10)+A476+1,0))</f>
        <v>60632</v>
      </c>
      <c r="C476" s="17">
        <f t="shared" si="15"/>
        <v>1457000</v>
      </c>
      <c r="D476" s="17">
        <f>IF(A476="","",'Savings Inputs'!$B$8)</f>
        <v>3000</v>
      </c>
      <c r="E476" s="17">
        <f>IF(A476="","",IF(A476='Savings Inputs'!$B$16,'Savings Inputs'!$B$9,0))</f>
        <v>0</v>
      </c>
      <c r="F476" s="17">
        <f t="shared" si="14"/>
        <v>1460000</v>
      </c>
      <c r="G476" s="18">
        <f>IF(A476="","",F476/Dashboard!$B$7)</f>
        <v>9.7333333333333325</v>
      </c>
      <c r="H476" s="15">
        <f>IF(A476="","",IF(F476&gt;=Dashboard!$B$7,1,0))</f>
        <v>1</v>
      </c>
    </row>
    <row r="477" spans="1:8" ht="21" customHeight="1">
      <c r="A477" s="15">
        <f>IF('Savings Inputs'!$B$14,471,"")</f>
        <v>471</v>
      </c>
      <c r="B477" s="16">
        <f>IF(A477="","",DATE(YEAR('Savings Inputs'!$B$10),MONTH('Savings Inputs'!$B$10)+A477+1,0))</f>
        <v>60663</v>
      </c>
      <c r="C477" s="17">
        <f t="shared" si="15"/>
        <v>1460000</v>
      </c>
      <c r="D477" s="17">
        <f>IF(A477="","",'Savings Inputs'!$B$8)</f>
        <v>3000</v>
      </c>
      <c r="E477" s="17">
        <f>IF(A477="","",IF(A477='Savings Inputs'!$B$16,'Savings Inputs'!$B$9,0))</f>
        <v>0</v>
      </c>
      <c r="F477" s="17">
        <f t="shared" si="14"/>
        <v>1463000</v>
      </c>
      <c r="G477" s="18">
        <f>IF(A477="","",F477/Dashboard!$B$7)</f>
        <v>9.7533333333333339</v>
      </c>
      <c r="H477" s="15">
        <f>IF(A477="","",IF(F477&gt;=Dashboard!$B$7,1,0))</f>
        <v>1</v>
      </c>
    </row>
    <row r="478" spans="1:8" ht="21" customHeight="1">
      <c r="A478" s="15">
        <f>IF('Savings Inputs'!$B$14,472,"")</f>
        <v>472</v>
      </c>
      <c r="B478" s="16">
        <f>IF(A478="","",DATE(YEAR('Savings Inputs'!$B$10),MONTH('Savings Inputs'!$B$10)+A478+1,0))</f>
        <v>60691</v>
      </c>
      <c r="C478" s="17">
        <f t="shared" si="15"/>
        <v>1463000</v>
      </c>
      <c r="D478" s="17">
        <f>IF(A478="","",'Savings Inputs'!$B$8)</f>
        <v>3000</v>
      </c>
      <c r="E478" s="17">
        <f>IF(A478="","",IF(A478='Savings Inputs'!$B$16,'Savings Inputs'!$B$9,0))</f>
        <v>0</v>
      </c>
      <c r="F478" s="17">
        <f t="shared" si="14"/>
        <v>1466000</v>
      </c>
      <c r="G478" s="18">
        <f>IF(A478="","",F478/Dashboard!$B$7)</f>
        <v>9.7733333333333334</v>
      </c>
      <c r="H478" s="15">
        <f>IF(A478="","",IF(F478&gt;=Dashboard!$B$7,1,0))</f>
        <v>1</v>
      </c>
    </row>
    <row r="479" spans="1:8" ht="21" customHeight="1">
      <c r="A479" s="15">
        <f>IF('Savings Inputs'!$B$14,473,"")</f>
        <v>473</v>
      </c>
      <c r="B479" s="16">
        <f>IF(A479="","",DATE(YEAR('Savings Inputs'!$B$10),MONTH('Savings Inputs'!$B$10)+A479+1,0))</f>
        <v>60722</v>
      </c>
      <c r="C479" s="17">
        <f t="shared" si="15"/>
        <v>1466000</v>
      </c>
      <c r="D479" s="17">
        <f>IF(A479="","",'Savings Inputs'!$B$8)</f>
        <v>3000</v>
      </c>
      <c r="E479" s="17">
        <f>IF(A479="","",IF(A479='Savings Inputs'!$B$16,'Savings Inputs'!$B$9,0))</f>
        <v>0</v>
      </c>
      <c r="F479" s="17">
        <f t="shared" si="14"/>
        <v>1469000</v>
      </c>
      <c r="G479" s="18">
        <f>IF(A479="","",F479/Dashboard!$B$7)</f>
        <v>9.793333333333333</v>
      </c>
      <c r="H479" s="15">
        <f>IF(A479="","",IF(F479&gt;=Dashboard!$B$7,1,0))</f>
        <v>1</v>
      </c>
    </row>
    <row r="480" spans="1:8" ht="21" customHeight="1">
      <c r="A480" s="15">
        <f>IF('Savings Inputs'!$B$14,474,"")</f>
        <v>474</v>
      </c>
      <c r="B480" s="16">
        <f>IF(A480="","",DATE(YEAR('Savings Inputs'!$B$10),MONTH('Savings Inputs'!$B$10)+A480+1,0))</f>
        <v>60752</v>
      </c>
      <c r="C480" s="17">
        <f t="shared" si="15"/>
        <v>1469000</v>
      </c>
      <c r="D480" s="17">
        <f>IF(A480="","",'Savings Inputs'!$B$8)</f>
        <v>3000</v>
      </c>
      <c r="E480" s="17">
        <f>IF(A480="","",IF(A480='Savings Inputs'!$B$16,'Savings Inputs'!$B$9,0))</f>
        <v>0</v>
      </c>
      <c r="F480" s="17">
        <f t="shared" si="14"/>
        <v>1472000</v>
      </c>
      <c r="G480" s="18">
        <f>IF(A480="","",F480/Dashboard!$B$7)</f>
        <v>9.8133333333333326</v>
      </c>
      <c r="H480" s="15">
        <f>IF(A480="","",IF(F480&gt;=Dashboard!$B$7,1,0))</f>
        <v>1</v>
      </c>
    </row>
    <row r="481" spans="1:8" ht="21" customHeight="1">
      <c r="A481" s="15">
        <f>IF('Savings Inputs'!$B$14,475,"")</f>
        <v>475</v>
      </c>
      <c r="B481" s="16">
        <f>IF(A481="","",DATE(YEAR('Savings Inputs'!$B$10),MONTH('Savings Inputs'!$B$10)+A481+1,0))</f>
        <v>60783</v>
      </c>
      <c r="C481" s="17">
        <f t="shared" si="15"/>
        <v>1472000</v>
      </c>
      <c r="D481" s="17">
        <f>IF(A481="","",'Savings Inputs'!$B$8)</f>
        <v>3000</v>
      </c>
      <c r="E481" s="17">
        <f>IF(A481="","",IF(A481='Savings Inputs'!$B$16,'Savings Inputs'!$B$9,0))</f>
        <v>0</v>
      </c>
      <c r="F481" s="17">
        <f t="shared" si="14"/>
        <v>1475000</v>
      </c>
      <c r="G481" s="18">
        <f>IF(A481="","",F481/Dashboard!$B$7)</f>
        <v>9.8333333333333339</v>
      </c>
      <c r="H481" s="15">
        <f>IF(A481="","",IF(F481&gt;=Dashboard!$B$7,1,0))</f>
        <v>1</v>
      </c>
    </row>
    <row r="482" spans="1:8" ht="21" customHeight="1">
      <c r="A482" s="15">
        <f>IF('Savings Inputs'!$B$14,476,"")</f>
        <v>476</v>
      </c>
      <c r="B482" s="16">
        <f>IF(A482="","",DATE(YEAR('Savings Inputs'!$B$10),MONTH('Savings Inputs'!$B$10)+A482+1,0))</f>
        <v>60813</v>
      </c>
      <c r="C482" s="17">
        <f t="shared" si="15"/>
        <v>1475000</v>
      </c>
      <c r="D482" s="17">
        <f>IF(A482="","",'Savings Inputs'!$B$8)</f>
        <v>3000</v>
      </c>
      <c r="E482" s="17">
        <f>IF(A482="","",IF(A482='Savings Inputs'!$B$16,'Savings Inputs'!$B$9,0))</f>
        <v>0</v>
      </c>
      <c r="F482" s="17">
        <f t="shared" si="14"/>
        <v>1478000</v>
      </c>
      <c r="G482" s="18">
        <f>IF(A482="","",F482/Dashboard!$B$7)</f>
        <v>9.8533333333333335</v>
      </c>
      <c r="H482" s="15">
        <f>IF(A482="","",IF(F482&gt;=Dashboard!$B$7,1,0))</f>
        <v>1</v>
      </c>
    </row>
    <row r="483" spans="1:8" ht="21" customHeight="1">
      <c r="A483" s="15">
        <f>IF('Savings Inputs'!$B$14,477,"")</f>
        <v>477</v>
      </c>
      <c r="B483" s="16">
        <f>IF(A483="","",DATE(YEAR('Savings Inputs'!$B$10),MONTH('Savings Inputs'!$B$10)+A483+1,0))</f>
        <v>60844</v>
      </c>
      <c r="C483" s="17">
        <f t="shared" si="15"/>
        <v>1478000</v>
      </c>
      <c r="D483" s="17">
        <f>IF(A483="","",'Savings Inputs'!$B$8)</f>
        <v>3000</v>
      </c>
      <c r="E483" s="17">
        <f>IF(A483="","",IF(A483='Savings Inputs'!$B$16,'Savings Inputs'!$B$9,0))</f>
        <v>0</v>
      </c>
      <c r="F483" s="17">
        <f t="shared" si="14"/>
        <v>1481000</v>
      </c>
      <c r="G483" s="18">
        <f>IF(A483="","",F483/Dashboard!$B$7)</f>
        <v>9.8733333333333331</v>
      </c>
      <c r="H483" s="15">
        <f>IF(A483="","",IF(F483&gt;=Dashboard!$B$7,1,0))</f>
        <v>1</v>
      </c>
    </row>
    <row r="484" spans="1:8" ht="21" customHeight="1">
      <c r="A484" s="15">
        <f>IF('Savings Inputs'!$B$14,478,"")</f>
        <v>478</v>
      </c>
      <c r="B484" s="16">
        <f>IF(A484="","",DATE(YEAR('Savings Inputs'!$B$10),MONTH('Savings Inputs'!$B$10)+A484+1,0))</f>
        <v>60875</v>
      </c>
      <c r="C484" s="17">
        <f t="shared" si="15"/>
        <v>1481000</v>
      </c>
      <c r="D484" s="17">
        <f>IF(A484="","",'Savings Inputs'!$B$8)</f>
        <v>3000</v>
      </c>
      <c r="E484" s="17">
        <f>IF(A484="","",IF(A484='Savings Inputs'!$B$16,'Savings Inputs'!$B$9,0))</f>
        <v>0</v>
      </c>
      <c r="F484" s="17">
        <f t="shared" si="14"/>
        <v>1484000</v>
      </c>
      <c r="G484" s="18">
        <f>IF(A484="","",F484/Dashboard!$B$7)</f>
        <v>9.8933333333333326</v>
      </c>
      <c r="H484" s="15">
        <f>IF(A484="","",IF(F484&gt;=Dashboard!$B$7,1,0))</f>
        <v>1</v>
      </c>
    </row>
    <row r="485" spans="1:8" ht="21" customHeight="1">
      <c r="A485" s="15">
        <f>IF('Savings Inputs'!$B$14,479,"")</f>
        <v>479</v>
      </c>
      <c r="B485" s="16">
        <f>IF(A485="","",DATE(YEAR('Savings Inputs'!$B$10),MONTH('Savings Inputs'!$B$10)+A485+1,0))</f>
        <v>60905</v>
      </c>
      <c r="C485" s="17">
        <f t="shared" si="15"/>
        <v>1484000</v>
      </c>
      <c r="D485" s="17">
        <f>IF(A485="","",'Savings Inputs'!$B$8)</f>
        <v>3000</v>
      </c>
      <c r="E485" s="17">
        <f>IF(A485="","",IF(A485='Savings Inputs'!$B$16,'Savings Inputs'!$B$9,0))</f>
        <v>0</v>
      </c>
      <c r="F485" s="17">
        <f t="shared" si="14"/>
        <v>1487000</v>
      </c>
      <c r="G485" s="18">
        <f>IF(A485="","",F485/Dashboard!$B$7)</f>
        <v>9.913333333333334</v>
      </c>
      <c r="H485" s="15">
        <f>IF(A485="","",IF(F485&gt;=Dashboard!$B$7,1,0))</f>
        <v>1</v>
      </c>
    </row>
    <row r="486" spans="1:8" ht="21" customHeight="1">
      <c r="A486" s="15">
        <f>IF('Savings Inputs'!$B$14,480,"")</f>
        <v>480</v>
      </c>
      <c r="B486" s="16">
        <f>IF(A486="","",DATE(YEAR('Savings Inputs'!$B$10),MONTH('Savings Inputs'!$B$10)+A486+1,0))</f>
        <v>60936</v>
      </c>
      <c r="C486" s="17">
        <f t="shared" si="15"/>
        <v>1487000</v>
      </c>
      <c r="D486" s="17">
        <f>IF(A486="","",'Savings Inputs'!$B$8)</f>
        <v>3000</v>
      </c>
      <c r="E486" s="17">
        <f>IF(A486="","",IF(A486='Savings Inputs'!$B$16,'Savings Inputs'!$B$9,0))</f>
        <v>0</v>
      </c>
      <c r="F486" s="17">
        <f t="shared" si="14"/>
        <v>1490000</v>
      </c>
      <c r="G486" s="18">
        <f>IF(A486="","",F486/Dashboard!$B$7)</f>
        <v>9.9333333333333336</v>
      </c>
      <c r="H486" s="15">
        <f>IF(A486="","",IF(F486&gt;=Dashboard!$B$7,1,0))</f>
        <v>1</v>
      </c>
    </row>
  </sheetData>
  <sheetProtection sheet="1" objects="1" scenarios="1"/>
  <mergeCells count="1">
    <mergeCell ref="A1:H2"/>
  </mergeCells>
  <pageMargins left="0.39370078740157477" right="0.39370078740157477" top="0.39370078740157477" bottom="0.59055118110236215" header="0.3" footer="0.19685039370078738"/>
  <pageSetup paperSize="9" scale="90" fitToHeight="0" orientation="landscape" r:id="rId1"/>
  <headerFooter>
    <oddFooter>&amp;CCalcy | Page &amp;P&amp;Rcalcy.com.au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D6A4F"/>
    <pageSetUpPr fitToPage="1"/>
  </sheetPr>
  <dimension ref="A1:H70"/>
  <sheetViews>
    <sheetView showGridLines="0" zoomScaleNormal="100" workbookViewId="0">
      <pane ySplit="6" topLeftCell="A7" activePane="bottomLeft" state="frozen"/>
      <selection pane="bottomLeft" sqref="A1:H2"/>
    </sheetView>
  </sheetViews>
  <sheetFormatPr defaultRowHeight="14.15"/>
  <cols>
    <col min="1" max="1" width="36" customWidth="1"/>
    <col min="2" max="8" width="17" customWidth="1"/>
  </cols>
  <sheetData>
    <row r="1" spans="1:8" ht="23.05" customHeight="1">
      <c r="A1" s="25" t="s">
        <v>39</v>
      </c>
      <c r="B1" s="25"/>
      <c r="C1" s="25"/>
      <c r="D1" s="25"/>
      <c r="E1" s="25"/>
      <c r="F1" s="25"/>
      <c r="G1" s="25"/>
      <c r="H1" s="25"/>
    </row>
    <row r="2" spans="1:8" ht="23.05" customHeight="1">
      <c r="A2" s="25"/>
      <c r="B2" s="25"/>
      <c r="C2" s="25"/>
      <c r="D2" s="25"/>
      <c r="E2" s="25"/>
      <c r="F2" s="25"/>
      <c r="G2" s="25"/>
      <c r="H2" s="25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/>
      <c r="C4" s="1"/>
      <c r="D4" s="1"/>
      <c r="E4" s="1"/>
      <c r="F4" s="1"/>
      <c r="G4" s="1"/>
      <c r="H4" s="1"/>
    </row>
    <row r="5" spans="1:8" ht="23.05" customHeight="1">
      <c r="A5" s="1"/>
      <c r="B5" s="1"/>
      <c r="C5" s="1"/>
      <c r="D5" s="1"/>
      <c r="E5" s="1"/>
      <c r="F5" s="1"/>
      <c r="G5" s="1"/>
      <c r="H5" s="1"/>
    </row>
    <row r="6" spans="1:8" ht="36" customHeight="1">
      <c r="A6" s="2" t="s">
        <v>40</v>
      </c>
      <c r="B6" s="2" t="s">
        <v>41</v>
      </c>
      <c r="C6" s="2" t="s">
        <v>42</v>
      </c>
      <c r="D6" s="2" t="s">
        <v>43</v>
      </c>
      <c r="E6" s="1"/>
      <c r="F6" s="1"/>
      <c r="G6" s="1"/>
      <c r="H6" s="1"/>
    </row>
    <row r="7" spans="1:8" ht="23.05" customHeight="1">
      <c r="A7" s="1" t="s">
        <v>44</v>
      </c>
      <c r="B7" s="4">
        <v>0.05</v>
      </c>
      <c r="C7" s="3">
        <f>IF('Savings Inputs'!$B$14,'Savings Inputs'!B5*B7,"")</f>
        <v>37500</v>
      </c>
      <c r="D7" s="3">
        <f>IF('Savings Inputs'!$B$14,MAX(0,C7-'Savings Inputs'!B7),"")</f>
        <v>0</v>
      </c>
      <c r="E7" s="1"/>
      <c r="F7" s="1"/>
      <c r="G7" s="1"/>
      <c r="H7" s="1"/>
    </row>
    <row r="8" spans="1:8" ht="23.05" customHeight="1">
      <c r="A8" s="1" t="s">
        <v>45</v>
      </c>
      <c r="B8" s="4">
        <v>0.1</v>
      </c>
      <c r="C8" s="3">
        <f>IF('Savings Inputs'!$B$14,'Savings Inputs'!B5*B8,"")</f>
        <v>75000</v>
      </c>
      <c r="D8" s="3">
        <f>IF('Savings Inputs'!$B$14,MAX(0,C8-'Savings Inputs'!B7),"")</f>
        <v>30000</v>
      </c>
      <c r="E8" s="1"/>
      <c r="F8" s="1"/>
      <c r="G8" s="1"/>
      <c r="H8" s="1"/>
    </row>
    <row r="9" spans="1:8" ht="23.05" customHeight="1">
      <c r="A9" s="1" t="s">
        <v>46</v>
      </c>
      <c r="B9" s="4">
        <v>0.2</v>
      </c>
      <c r="C9" s="3">
        <f>IF('Savings Inputs'!$B$14,'Savings Inputs'!B5*B9,"")</f>
        <v>150000</v>
      </c>
      <c r="D9" s="3">
        <f>IF('Savings Inputs'!$B$14,MAX(0,C9-'Savings Inputs'!B7),"")</f>
        <v>105000</v>
      </c>
      <c r="E9" s="1"/>
      <c r="F9" s="1"/>
      <c r="G9" s="1"/>
      <c r="H9" s="1"/>
    </row>
    <row r="10" spans="1:8" ht="23.05" customHeight="1">
      <c r="A10" s="1" t="s">
        <v>47</v>
      </c>
      <c r="B10" s="4">
        <f>'Savings Inputs'!B6</f>
        <v>0.2</v>
      </c>
      <c r="C10" s="3">
        <f>IF('Savings Inputs'!$B$14,'Savings Inputs'!B5*B10,"")</f>
        <v>150000</v>
      </c>
      <c r="D10" s="3">
        <f>IF('Savings Inputs'!$B$14,MAX(0,C10-'Savings Inputs'!B7),"")</f>
        <v>105000</v>
      </c>
      <c r="E10" s="1"/>
      <c r="F10" s="1"/>
      <c r="G10" s="1"/>
      <c r="H10" s="1"/>
    </row>
    <row r="11" spans="1:8" ht="23.05" customHeight="1">
      <c r="A11" s="1"/>
      <c r="B11" s="1"/>
      <c r="C11" s="1"/>
      <c r="D11" s="1"/>
      <c r="E11" s="1"/>
      <c r="F11" s="1"/>
      <c r="G11" s="1"/>
      <c r="H11" s="1"/>
    </row>
    <row r="12" spans="1:8" ht="23.05" customHeight="1">
      <c r="A12" s="1"/>
      <c r="B12" s="1"/>
      <c r="C12" s="1"/>
      <c r="D12" s="1"/>
      <c r="E12" s="1"/>
      <c r="F12" s="1"/>
      <c r="G12" s="1"/>
      <c r="H12" s="1"/>
    </row>
    <row r="13" spans="1:8" ht="23.05" customHeight="1">
      <c r="A13" s="1"/>
      <c r="B13" s="1"/>
      <c r="C13" s="1"/>
      <c r="D13" s="1"/>
      <c r="E13" s="1"/>
      <c r="F13" s="1"/>
      <c r="G13" s="1"/>
      <c r="H13" s="1"/>
    </row>
    <row r="14" spans="1:8" ht="23.05" customHeight="1">
      <c r="A14" s="24" t="s">
        <v>48</v>
      </c>
      <c r="B14" s="24"/>
      <c r="C14" s="24"/>
      <c r="D14" s="24"/>
      <c r="E14" s="24"/>
      <c r="F14" s="24"/>
      <c r="G14" s="24"/>
      <c r="H14" s="24"/>
    </row>
    <row r="15" spans="1:8" ht="23.05" customHeight="1">
      <c r="A15" s="24"/>
      <c r="B15" s="24"/>
      <c r="C15" s="24"/>
      <c r="D15" s="24"/>
      <c r="E15" s="24"/>
      <c r="F15" s="24"/>
      <c r="G15" s="24"/>
      <c r="H15" s="24"/>
    </row>
    <row r="16" spans="1:8" ht="23.05" customHeight="1">
      <c r="A16" s="24"/>
      <c r="B16" s="24"/>
      <c r="C16" s="24"/>
      <c r="D16" s="24"/>
      <c r="E16" s="24"/>
      <c r="F16" s="24"/>
      <c r="G16" s="24"/>
      <c r="H16" s="24"/>
    </row>
    <row r="17" spans="1:8" ht="23.05" customHeight="1">
      <c r="A17" s="1"/>
      <c r="B17" s="1"/>
      <c r="C17" s="1"/>
      <c r="D17" s="1"/>
      <c r="E17" s="1"/>
      <c r="F17" s="1"/>
      <c r="G17" s="1"/>
      <c r="H17" s="1"/>
    </row>
    <row r="18" spans="1:8" ht="23.05" customHeight="1">
      <c r="A18" s="1"/>
      <c r="B18" s="1"/>
      <c r="C18" s="1"/>
      <c r="D18" s="1"/>
      <c r="E18" s="1"/>
      <c r="F18" s="1"/>
      <c r="G18" s="1"/>
      <c r="H18" s="1"/>
    </row>
    <row r="19" spans="1:8" ht="23.05" customHeight="1">
      <c r="A19" s="1"/>
      <c r="B19" s="1"/>
      <c r="C19" s="1"/>
      <c r="D19" s="1"/>
      <c r="E19" s="1"/>
      <c r="F19" s="1"/>
      <c r="G19" s="1"/>
      <c r="H19" s="1"/>
    </row>
    <row r="20" spans="1:8" ht="23.05" customHeight="1">
      <c r="A20" s="1"/>
      <c r="B20" s="1"/>
      <c r="C20" s="1"/>
      <c r="D20" s="1"/>
      <c r="E20" s="1"/>
      <c r="F20" s="1"/>
      <c r="G20" s="1"/>
      <c r="H20" s="1"/>
    </row>
    <row r="21" spans="1:8" ht="23.05" customHeight="1">
      <c r="A21" s="1"/>
      <c r="B21" s="1"/>
      <c r="C21" s="1"/>
      <c r="D21" s="1"/>
      <c r="E21" s="1"/>
      <c r="F21" s="1"/>
      <c r="G21" s="1"/>
      <c r="H21" s="1"/>
    </row>
    <row r="22" spans="1:8" ht="23.05" customHeight="1">
      <c r="A22" s="1"/>
      <c r="B22" s="1"/>
      <c r="C22" s="1"/>
      <c r="D22" s="1"/>
      <c r="E22" s="1"/>
      <c r="F22" s="1"/>
      <c r="G22" s="1"/>
      <c r="H22" s="1"/>
    </row>
    <row r="23" spans="1:8" ht="23.05" customHeight="1">
      <c r="A23" s="1"/>
      <c r="B23" s="1"/>
      <c r="C23" s="1"/>
      <c r="D23" s="1"/>
      <c r="E23" s="1"/>
      <c r="F23" s="1"/>
      <c r="G23" s="1"/>
      <c r="H23" s="1"/>
    </row>
    <row r="24" spans="1:8" ht="23.05" customHeight="1">
      <c r="A24" s="1"/>
      <c r="B24" s="1"/>
      <c r="C24" s="1"/>
      <c r="D24" s="1"/>
      <c r="E24" s="1"/>
      <c r="F24" s="1"/>
      <c r="G24" s="1"/>
      <c r="H24" s="1"/>
    </row>
    <row r="25" spans="1:8" ht="23.05" customHeight="1">
      <c r="A25" s="1"/>
      <c r="B25" s="1"/>
      <c r="C25" s="1"/>
      <c r="D25" s="1"/>
      <c r="E25" s="1"/>
      <c r="F25" s="1"/>
      <c r="G25" s="1"/>
      <c r="H25" s="1"/>
    </row>
    <row r="26" spans="1:8" ht="23.05" customHeight="1">
      <c r="A26" s="1"/>
      <c r="B26" s="1"/>
      <c r="C26" s="1"/>
      <c r="D26" s="1"/>
      <c r="E26" s="1"/>
      <c r="F26" s="1"/>
      <c r="G26" s="1"/>
      <c r="H26" s="1"/>
    </row>
    <row r="27" spans="1:8" ht="23.05" customHeight="1">
      <c r="A27" s="1"/>
      <c r="B27" s="1"/>
      <c r="C27" s="1"/>
      <c r="D27" s="1"/>
      <c r="E27" s="1"/>
      <c r="F27" s="1"/>
      <c r="G27" s="1"/>
      <c r="H27" s="1"/>
    </row>
    <row r="28" spans="1:8" ht="23.05" customHeight="1">
      <c r="A28" s="1"/>
      <c r="B28" s="1"/>
      <c r="C28" s="1"/>
      <c r="D28" s="1"/>
      <c r="E28" s="1"/>
      <c r="F28" s="1"/>
      <c r="G28" s="1"/>
      <c r="H28" s="1"/>
    </row>
    <row r="29" spans="1:8" ht="23.05" customHeight="1">
      <c r="A29" s="1"/>
      <c r="B29" s="1"/>
      <c r="C29" s="1"/>
      <c r="D29" s="1"/>
      <c r="E29" s="1"/>
      <c r="F29" s="1"/>
      <c r="G29" s="1"/>
      <c r="H29" s="1"/>
    </row>
    <row r="30" spans="1:8" ht="23.05" customHeight="1">
      <c r="A30" s="1"/>
      <c r="B30" s="1"/>
      <c r="C30" s="1"/>
      <c r="D30" s="1"/>
      <c r="E30" s="1"/>
      <c r="F30" s="1"/>
      <c r="G30" s="1"/>
      <c r="H30" s="1"/>
    </row>
    <row r="31" spans="1:8" ht="23.05" customHeight="1">
      <c r="A31" s="1"/>
      <c r="B31" s="1"/>
      <c r="C31" s="1"/>
      <c r="D31" s="1"/>
      <c r="E31" s="1"/>
      <c r="F31" s="1"/>
      <c r="G31" s="1"/>
      <c r="H31" s="1"/>
    </row>
    <row r="32" spans="1:8" ht="23.05" customHeight="1">
      <c r="A32" s="1"/>
      <c r="B32" s="1"/>
      <c r="C32" s="1"/>
      <c r="D32" s="1"/>
      <c r="E32" s="1"/>
      <c r="F32" s="1"/>
      <c r="G32" s="1"/>
      <c r="H32" s="1"/>
    </row>
    <row r="33" spans="1:8" ht="23.05" customHeight="1">
      <c r="A33" s="1"/>
      <c r="B33" s="1"/>
      <c r="C33" s="1"/>
      <c r="D33" s="1"/>
      <c r="E33" s="1"/>
      <c r="F33" s="1"/>
      <c r="G33" s="1"/>
      <c r="H33" s="1"/>
    </row>
    <row r="34" spans="1:8" ht="23.05" customHeight="1">
      <c r="A34" s="1"/>
      <c r="B34" s="1"/>
      <c r="C34" s="1"/>
      <c r="D34" s="1"/>
      <c r="E34" s="1"/>
      <c r="F34" s="1"/>
      <c r="G34" s="1"/>
      <c r="H34" s="1"/>
    </row>
    <row r="35" spans="1:8" ht="23.05" customHeight="1">
      <c r="A35" s="1"/>
      <c r="B35" s="1"/>
      <c r="C35" s="1"/>
      <c r="D35" s="1"/>
      <c r="E35" s="1"/>
      <c r="F35" s="1"/>
      <c r="G35" s="1"/>
      <c r="H35" s="1"/>
    </row>
    <row r="36" spans="1:8" ht="23.05" customHeight="1">
      <c r="A36" s="1"/>
      <c r="B36" s="1"/>
      <c r="C36" s="1"/>
      <c r="D36" s="1"/>
      <c r="E36" s="1"/>
      <c r="F36" s="1"/>
      <c r="G36" s="1"/>
      <c r="H36" s="1"/>
    </row>
    <row r="37" spans="1:8" ht="23.05" customHeight="1">
      <c r="A37" s="1"/>
      <c r="B37" s="1"/>
      <c r="C37" s="1"/>
      <c r="D37" s="1"/>
      <c r="E37" s="1"/>
      <c r="F37" s="1"/>
      <c r="G37" s="1"/>
      <c r="H37" s="1"/>
    </row>
    <row r="38" spans="1:8" ht="23.05" customHeight="1">
      <c r="A38" s="1"/>
      <c r="B38" s="1"/>
      <c r="C38" s="1"/>
      <c r="D38" s="1"/>
      <c r="E38" s="1"/>
      <c r="F38" s="1"/>
      <c r="G38" s="1"/>
      <c r="H38" s="1"/>
    </row>
    <row r="39" spans="1:8" ht="23.05" customHeight="1">
      <c r="A39" s="1"/>
      <c r="B39" s="1"/>
      <c r="C39" s="1"/>
      <c r="D39" s="1"/>
      <c r="E39" s="1"/>
      <c r="F39" s="1"/>
      <c r="G39" s="1"/>
      <c r="H39" s="1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2">
    <mergeCell ref="A1:H2"/>
    <mergeCell ref="A14:H16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D6A4F"/>
    <pageSetUpPr fitToPage="1"/>
  </sheetPr>
  <dimension ref="A1:H70"/>
  <sheetViews>
    <sheetView showGridLines="0" zoomScaleNormal="100" workbookViewId="0">
      <pane ySplit="25" topLeftCell="A26" activePane="bottomLeft" state="frozen"/>
      <selection pane="bottomLeft" sqref="A1:H2"/>
    </sheetView>
  </sheetViews>
  <sheetFormatPr defaultRowHeight="14.15"/>
  <cols>
    <col min="1" max="1" width="36" customWidth="1"/>
    <col min="2" max="8" width="17" customWidth="1"/>
  </cols>
  <sheetData>
    <row r="1" spans="1:8" ht="23.05" customHeight="1">
      <c r="A1" s="25" t="s">
        <v>49</v>
      </c>
      <c r="B1" s="25"/>
      <c r="C1" s="25"/>
      <c r="D1" s="25"/>
      <c r="E1" s="25"/>
      <c r="F1" s="25"/>
      <c r="G1" s="25"/>
      <c r="H1" s="25"/>
    </row>
    <row r="2" spans="1:8" ht="23.05" customHeight="1">
      <c r="A2" s="25"/>
      <c r="B2" s="25"/>
      <c r="C2" s="25"/>
      <c r="D2" s="25"/>
      <c r="E2" s="25"/>
      <c r="F2" s="25"/>
      <c r="G2" s="25"/>
      <c r="H2" s="25"/>
    </row>
    <row r="3" spans="1:8" ht="23.05" customHeight="1">
      <c r="A3" s="1"/>
      <c r="B3" s="1"/>
      <c r="C3" s="1"/>
      <c r="D3" s="1"/>
      <c r="E3" s="1"/>
      <c r="F3" s="1"/>
      <c r="G3" s="1"/>
      <c r="H3" s="1"/>
    </row>
    <row r="4" spans="1:8" ht="23.05" customHeight="1">
      <c r="A4" s="1"/>
      <c r="B4" s="1"/>
      <c r="C4" s="1"/>
      <c r="D4" s="1"/>
      <c r="E4" s="1"/>
      <c r="F4" s="1"/>
      <c r="G4" s="1"/>
      <c r="H4" s="1"/>
    </row>
    <row r="5" spans="1:8" ht="23.05" customHeight="1">
      <c r="A5" s="1"/>
      <c r="B5" s="1"/>
      <c r="C5" s="1"/>
      <c r="D5" s="1"/>
      <c r="E5" s="1"/>
      <c r="F5" s="1"/>
      <c r="G5" s="1"/>
      <c r="H5" s="1"/>
    </row>
    <row r="6" spans="1:8" ht="23.05" customHeight="1">
      <c r="A6" s="1"/>
      <c r="B6" s="1"/>
      <c r="C6" s="1"/>
      <c r="D6" s="1"/>
      <c r="E6" s="1"/>
      <c r="F6" s="1"/>
      <c r="G6" s="1"/>
      <c r="H6" s="1"/>
    </row>
    <row r="7" spans="1:8" ht="23.05" customHeight="1">
      <c r="A7" s="1"/>
      <c r="B7" s="1"/>
      <c r="C7" s="1"/>
      <c r="D7" s="1"/>
      <c r="E7" s="1"/>
      <c r="F7" s="1"/>
      <c r="G7" s="1"/>
      <c r="H7" s="1"/>
    </row>
    <row r="8" spans="1:8" ht="23.05" customHeight="1">
      <c r="A8" s="1"/>
      <c r="B8" s="1"/>
      <c r="C8" s="1"/>
      <c r="D8" s="1"/>
      <c r="E8" s="1"/>
      <c r="F8" s="1"/>
      <c r="G8" s="1"/>
      <c r="H8" s="1"/>
    </row>
    <row r="9" spans="1:8" ht="23.05" customHeight="1">
      <c r="A9" s="1"/>
      <c r="B9" s="1"/>
      <c r="C9" s="1"/>
      <c r="D9" s="1"/>
      <c r="E9" s="1"/>
      <c r="F9" s="1"/>
      <c r="G9" s="1"/>
      <c r="H9" s="1"/>
    </row>
    <row r="10" spans="1:8" ht="23.05" customHeight="1">
      <c r="A10" s="1"/>
      <c r="B10" s="1"/>
      <c r="C10" s="1"/>
      <c r="D10" s="1"/>
      <c r="E10" s="1"/>
      <c r="F10" s="1"/>
      <c r="G10" s="1"/>
      <c r="H10" s="1"/>
    </row>
    <row r="11" spans="1:8" ht="23.05" customHeight="1">
      <c r="A11" s="1"/>
      <c r="B11" s="1"/>
      <c r="C11" s="1"/>
      <c r="D11" s="1"/>
      <c r="E11" s="1"/>
      <c r="F11" s="1"/>
      <c r="G11" s="1"/>
      <c r="H11" s="1"/>
    </row>
    <row r="12" spans="1:8" ht="23.05" customHeight="1">
      <c r="A12" s="1"/>
      <c r="B12" s="1"/>
      <c r="C12" s="1"/>
      <c r="D12" s="1"/>
      <c r="E12" s="1"/>
      <c r="F12" s="1"/>
      <c r="G12" s="1"/>
      <c r="H12" s="1"/>
    </row>
    <row r="13" spans="1:8" ht="23.05" customHeight="1">
      <c r="A13" s="1"/>
      <c r="B13" s="1"/>
      <c r="C13" s="1"/>
      <c r="D13" s="1"/>
      <c r="E13" s="1"/>
      <c r="F13" s="1"/>
      <c r="G13" s="1"/>
      <c r="H13" s="1"/>
    </row>
    <row r="14" spans="1:8" ht="23.05" customHeight="1">
      <c r="A14" s="1"/>
      <c r="B14" s="1"/>
      <c r="C14" s="1"/>
      <c r="D14" s="1"/>
      <c r="E14" s="1"/>
      <c r="F14" s="1"/>
      <c r="G14" s="1"/>
      <c r="H14" s="1"/>
    </row>
    <row r="15" spans="1:8" ht="23.05" customHeight="1">
      <c r="A15" s="1"/>
      <c r="B15" s="1"/>
      <c r="C15" s="1"/>
      <c r="D15" s="1"/>
      <c r="E15" s="1"/>
      <c r="F15" s="1"/>
      <c r="G15" s="1"/>
      <c r="H15" s="1"/>
    </row>
    <row r="16" spans="1:8" ht="23.05" customHeight="1">
      <c r="A16" s="1"/>
      <c r="B16" s="1"/>
      <c r="C16" s="1"/>
      <c r="D16" s="1"/>
      <c r="E16" s="1"/>
      <c r="F16" s="1"/>
      <c r="G16" s="1"/>
      <c r="H16" s="1"/>
    </row>
    <row r="17" spans="1:8" ht="23.05" customHeight="1">
      <c r="A17" s="1"/>
      <c r="B17" s="1"/>
      <c r="C17" s="1"/>
      <c r="D17" s="1"/>
      <c r="E17" s="1"/>
      <c r="F17" s="1"/>
      <c r="G17" s="1"/>
      <c r="H17" s="1"/>
    </row>
    <row r="18" spans="1:8" ht="23.05" customHeight="1">
      <c r="A18" s="1"/>
      <c r="B18" s="1"/>
      <c r="C18" s="1"/>
      <c r="D18" s="1"/>
      <c r="E18" s="1"/>
      <c r="F18" s="1"/>
      <c r="G18" s="1"/>
      <c r="H18" s="1"/>
    </row>
    <row r="19" spans="1:8" ht="23.05" customHeight="1">
      <c r="A19" s="1"/>
      <c r="B19" s="1"/>
      <c r="C19" s="1"/>
      <c r="D19" s="1"/>
      <c r="E19" s="1"/>
      <c r="F19" s="1"/>
      <c r="G19" s="1"/>
      <c r="H19" s="1"/>
    </row>
    <row r="20" spans="1:8" ht="23.05" customHeight="1">
      <c r="A20" s="1"/>
      <c r="B20" s="1"/>
      <c r="C20" s="1"/>
      <c r="D20" s="1"/>
      <c r="E20" s="1"/>
      <c r="F20" s="1"/>
      <c r="G20" s="1"/>
      <c r="H20" s="1"/>
    </row>
    <row r="21" spans="1:8" ht="23.05" customHeight="1">
      <c r="A21" s="1"/>
      <c r="B21" s="1"/>
      <c r="C21" s="1"/>
      <c r="D21" s="1"/>
      <c r="E21" s="1"/>
      <c r="F21" s="1"/>
      <c r="G21" s="1"/>
      <c r="H21" s="1"/>
    </row>
    <row r="22" spans="1:8" ht="23.05" customHeight="1">
      <c r="A22" s="1"/>
      <c r="B22" s="1"/>
      <c r="C22" s="1"/>
      <c r="D22" s="1"/>
      <c r="E22" s="1"/>
      <c r="F22" s="1"/>
      <c r="G22" s="1"/>
      <c r="H22" s="1"/>
    </row>
    <row r="23" spans="1:8" ht="23.05" customHeight="1">
      <c r="A23" s="1"/>
      <c r="B23" s="1"/>
      <c r="C23" s="1"/>
      <c r="D23" s="1"/>
      <c r="E23" s="1"/>
      <c r="F23" s="1"/>
      <c r="G23" s="1"/>
      <c r="H23" s="1"/>
    </row>
    <row r="24" spans="1:8" ht="23.05" customHeight="1">
      <c r="A24" s="1"/>
      <c r="B24" s="1"/>
      <c r="C24" s="1"/>
      <c r="D24" s="1"/>
      <c r="E24" s="1"/>
      <c r="F24" s="1"/>
      <c r="G24" s="1"/>
      <c r="H24" s="1"/>
    </row>
    <row r="25" spans="1:8" ht="36" customHeight="1">
      <c r="A25" s="2" t="s">
        <v>31</v>
      </c>
      <c r="B25" s="2" t="s">
        <v>50</v>
      </c>
      <c r="C25" s="2" t="s">
        <v>1</v>
      </c>
      <c r="D25" s="1"/>
      <c r="E25" s="1"/>
      <c r="F25" s="1"/>
      <c r="G25" s="1"/>
      <c r="H25" s="1"/>
    </row>
    <row r="26" spans="1:8" ht="23.05" customHeight="1">
      <c r="A26" s="1">
        <v>0</v>
      </c>
      <c r="B26" s="1">
        <f>IF('Savings Inputs'!$B$14,'Savings Inputs'!B7,"")</f>
        <v>45000</v>
      </c>
      <c r="C26" s="1">
        <f>Dashboard!B7</f>
        <v>150000</v>
      </c>
      <c r="D26" s="1"/>
      <c r="E26" s="1"/>
      <c r="F26" s="1"/>
      <c r="G26" s="1"/>
      <c r="H26" s="1"/>
    </row>
    <row r="27" spans="1:8" ht="23.05" customHeight="1">
      <c r="A27" s="1">
        <v>1</v>
      </c>
      <c r="B27" s="1">
        <f>IF('Savings Inputs'!$B$14,'Monthly Savings Tracker'!F7,"")</f>
        <v>48000</v>
      </c>
      <c r="C27" s="1">
        <f>Dashboard!B7</f>
        <v>150000</v>
      </c>
      <c r="D27" s="1"/>
      <c r="E27" s="1"/>
      <c r="F27" s="1"/>
      <c r="G27" s="1"/>
      <c r="H27" s="1"/>
    </row>
    <row r="28" spans="1:8" ht="23.05" customHeight="1">
      <c r="A28" s="1">
        <v>2</v>
      </c>
      <c r="B28" s="1">
        <f>IF('Savings Inputs'!$B$14,'Monthly Savings Tracker'!F8,"")</f>
        <v>51000</v>
      </c>
      <c r="C28" s="1">
        <f>Dashboard!B7</f>
        <v>150000</v>
      </c>
      <c r="D28" s="1"/>
      <c r="E28" s="1"/>
      <c r="F28" s="1"/>
      <c r="G28" s="1"/>
      <c r="H28" s="1"/>
    </row>
    <row r="29" spans="1:8" ht="23.05" customHeight="1">
      <c r="A29" s="1">
        <v>3</v>
      </c>
      <c r="B29" s="1">
        <f>IF('Savings Inputs'!$B$14,'Monthly Savings Tracker'!F9,"")</f>
        <v>59000</v>
      </c>
      <c r="C29" s="1">
        <f>Dashboard!B7</f>
        <v>150000</v>
      </c>
      <c r="D29" s="1"/>
      <c r="E29" s="1"/>
      <c r="F29" s="1"/>
      <c r="G29" s="1"/>
      <c r="H29" s="1"/>
    </row>
    <row r="30" spans="1:8" ht="23.05" customHeight="1">
      <c r="A30" s="1">
        <v>4</v>
      </c>
      <c r="B30" s="1">
        <f>IF('Savings Inputs'!$B$14,'Monthly Savings Tracker'!F10,"")</f>
        <v>62000</v>
      </c>
      <c r="C30" s="1">
        <f>Dashboard!B7</f>
        <v>150000</v>
      </c>
      <c r="D30" s="1"/>
      <c r="E30" s="1"/>
      <c r="F30" s="1"/>
      <c r="G30" s="1"/>
      <c r="H30" s="1"/>
    </row>
    <row r="31" spans="1:8" ht="23.05" customHeight="1">
      <c r="A31" s="1">
        <v>5</v>
      </c>
      <c r="B31" s="1">
        <f>IF('Savings Inputs'!$B$14,'Monthly Savings Tracker'!F11,"")</f>
        <v>65000</v>
      </c>
      <c r="C31" s="1">
        <f>Dashboard!B7</f>
        <v>150000</v>
      </c>
      <c r="D31" s="1"/>
      <c r="E31" s="1"/>
      <c r="F31" s="1"/>
      <c r="G31" s="1"/>
      <c r="H31" s="1"/>
    </row>
    <row r="32" spans="1:8" ht="23.05" customHeight="1">
      <c r="A32" s="1">
        <v>6</v>
      </c>
      <c r="B32" s="1">
        <f>IF('Savings Inputs'!$B$14,'Monthly Savings Tracker'!F12,"")</f>
        <v>68000</v>
      </c>
      <c r="C32" s="1">
        <f>Dashboard!B7</f>
        <v>150000</v>
      </c>
      <c r="D32" s="1"/>
      <c r="E32" s="1"/>
      <c r="F32" s="1"/>
      <c r="G32" s="1"/>
      <c r="H32" s="1"/>
    </row>
    <row r="33" spans="1:8" ht="23.05" customHeight="1">
      <c r="A33" s="1">
        <v>7</v>
      </c>
      <c r="B33" s="1">
        <f>IF('Savings Inputs'!$B$14,'Monthly Savings Tracker'!F13,"")</f>
        <v>71000</v>
      </c>
      <c r="C33" s="1">
        <f>Dashboard!B7</f>
        <v>150000</v>
      </c>
      <c r="D33" s="1"/>
      <c r="E33" s="1"/>
      <c r="F33" s="1"/>
      <c r="G33" s="1"/>
      <c r="H33" s="1"/>
    </row>
    <row r="34" spans="1:8" ht="23.05" customHeight="1">
      <c r="A34" s="1">
        <v>8</v>
      </c>
      <c r="B34" s="1">
        <f>IF('Savings Inputs'!$B$14,'Monthly Savings Tracker'!F14,"")</f>
        <v>74000</v>
      </c>
      <c r="C34" s="1">
        <f>Dashboard!B7</f>
        <v>150000</v>
      </c>
      <c r="D34" s="1"/>
      <c r="E34" s="1"/>
      <c r="F34" s="1"/>
      <c r="G34" s="1"/>
      <c r="H34" s="1"/>
    </row>
    <row r="35" spans="1:8" ht="23.05" customHeight="1">
      <c r="A35" s="1">
        <v>9</v>
      </c>
      <c r="B35" s="1">
        <f>IF('Savings Inputs'!$B$14,'Monthly Savings Tracker'!F15,"")</f>
        <v>77000</v>
      </c>
      <c r="C35" s="1">
        <f>Dashboard!B7</f>
        <v>150000</v>
      </c>
      <c r="D35" s="1"/>
      <c r="E35" s="1"/>
      <c r="F35" s="1"/>
      <c r="G35" s="1"/>
      <c r="H35" s="1"/>
    </row>
    <row r="36" spans="1:8" ht="23.05" customHeight="1">
      <c r="A36" s="1">
        <v>10</v>
      </c>
      <c r="B36" s="1">
        <f>IF('Savings Inputs'!$B$14,'Monthly Savings Tracker'!F16,"")</f>
        <v>80000</v>
      </c>
      <c r="C36" s="1">
        <f>Dashboard!B7</f>
        <v>150000</v>
      </c>
      <c r="D36" s="1"/>
      <c r="E36" s="1"/>
      <c r="F36" s="1"/>
      <c r="G36" s="1"/>
      <c r="H36" s="1"/>
    </row>
    <row r="37" spans="1:8" ht="23.05" customHeight="1">
      <c r="A37" s="1">
        <v>11</v>
      </c>
      <c r="B37" s="1">
        <f>IF('Savings Inputs'!$B$14,'Monthly Savings Tracker'!F17,"")</f>
        <v>83000</v>
      </c>
      <c r="C37" s="1">
        <f>Dashboard!B7</f>
        <v>150000</v>
      </c>
      <c r="D37" s="1"/>
      <c r="E37" s="1"/>
      <c r="F37" s="1"/>
      <c r="G37" s="1"/>
      <c r="H37" s="1"/>
    </row>
    <row r="38" spans="1:8" ht="23.05" customHeight="1">
      <c r="A38" s="1">
        <v>12</v>
      </c>
      <c r="B38" s="1">
        <f>IF('Savings Inputs'!$B$14,'Monthly Savings Tracker'!F18,"")</f>
        <v>86000</v>
      </c>
      <c r="C38" s="1">
        <f>Dashboard!B7</f>
        <v>150000</v>
      </c>
      <c r="D38" s="1"/>
      <c r="E38" s="1"/>
      <c r="F38" s="1"/>
      <c r="G38" s="1"/>
      <c r="H38" s="1"/>
    </row>
    <row r="39" spans="1:8" ht="23.05" customHeight="1">
      <c r="A39" s="1">
        <v>13</v>
      </c>
      <c r="B39" s="1">
        <f>IF('Savings Inputs'!$B$14,'Monthly Savings Tracker'!F19,"")</f>
        <v>89000</v>
      </c>
      <c r="C39" s="1">
        <f>Dashboard!B7</f>
        <v>150000</v>
      </c>
      <c r="D39" s="1"/>
      <c r="E39" s="1"/>
      <c r="F39" s="1"/>
      <c r="G39" s="1"/>
      <c r="H39" s="1"/>
    </row>
    <row r="40" spans="1:8" ht="23.05" customHeight="1">
      <c r="A40" s="1">
        <v>14</v>
      </c>
      <c r="B40" s="1">
        <f>IF('Savings Inputs'!$B$14,'Monthly Savings Tracker'!F20,"")</f>
        <v>92000</v>
      </c>
      <c r="C40" s="1">
        <f>Dashboard!B7</f>
        <v>150000</v>
      </c>
      <c r="D40" s="1"/>
      <c r="E40" s="1"/>
      <c r="F40" s="1"/>
      <c r="G40" s="1"/>
      <c r="H40" s="1"/>
    </row>
    <row r="41" spans="1:8" ht="23.05" customHeight="1">
      <c r="A41" s="1">
        <v>15</v>
      </c>
      <c r="B41" s="1">
        <f>IF('Savings Inputs'!$B$14,'Monthly Savings Tracker'!F21,"")</f>
        <v>95000</v>
      </c>
      <c r="C41" s="1">
        <f>Dashboard!B7</f>
        <v>150000</v>
      </c>
      <c r="D41" s="1"/>
      <c r="E41" s="1"/>
      <c r="F41" s="1"/>
      <c r="G41" s="1"/>
      <c r="H41" s="1"/>
    </row>
    <row r="42" spans="1:8" ht="23.05" customHeight="1">
      <c r="A42" s="1">
        <v>16</v>
      </c>
      <c r="B42" s="1">
        <f>IF('Savings Inputs'!$B$14,'Monthly Savings Tracker'!F22,"")</f>
        <v>98000</v>
      </c>
      <c r="C42" s="1">
        <f>Dashboard!B7</f>
        <v>150000</v>
      </c>
      <c r="D42" s="1"/>
      <c r="E42" s="1"/>
      <c r="F42" s="1"/>
      <c r="G42" s="1"/>
      <c r="H42" s="1"/>
    </row>
    <row r="43" spans="1:8" ht="23.05" customHeight="1">
      <c r="A43" s="1">
        <v>17</v>
      </c>
      <c r="B43" s="1">
        <f>IF('Savings Inputs'!$B$14,'Monthly Savings Tracker'!F23,"")</f>
        <v>101000</v>
      </c>
      <c r="C43" s="1">
        <f>Dashboard!B7</f>
        <v>150000</v>
      </c>
      <c r="D43" s="1"/>
      <c r="E43" s="1"/>
      <c r="F43" s="1"/>
      <c r="G43" s="1"/>
      <c r="H43" s="1"/>
    </row>
    <row r="44" spans="1:8" ht="23.05" customHeight="1">
      <c r="A44" s="1">
        <v>18</v>
      </c>
      <c r="B44" s="1">
        <f>IF('Savings Inputs'!$B$14,'Monthly Savings Tracker'!F24,"")</f>
        <v>104000</v>
      </c>
      <c r="C44" s="1">
        <f>Dashboard!B7</f>
        <v>150000</v>
      </c>
      <c r="D44" s="1"/>
      <c r="E44" s="1"/>
      <c r="F44" s="1"/>
      <c r="G44" s="1"/>
      <c r="H44" s="1"/>
    </row>
    <row r="45" spans="1:8" ht="23.05" customHeight="1">
      <c r="A45" s="1">
        <v>19</v>
      </c>
      <c r="B45" s="1">
        <f>IF('Savings Inputs'!$B$14,'Monthly Savings Tracker'!F25,"")</f>
        <v>107000</v>
      </c>
      <c r="C45" s="1">
        <f>Dashboard!B7</f>
        <v>150000</v>
      </c>
      <c r="D45" s="1"/>
      <c r="E45" s="1"/>
      <c r="F45" s="1"/>
      <c r="G45" s="1"/>
      <c r="H45" s="1"/>
    </row>
    <row r="46" spans="1:8" ht="23.05" customHeight="1">
      <c r="A46" s="1">
        <v>20</v>
      </c>
      <c r="B46" s="1">
        <f>IF('Savings Inputs'!$B$14,'Monthly Savings Tracker'!F26,"")</f>
        <v>110000</v>
      </c>
      <c r="C46" s="1">
        <f>Dashboard!B7</f>
        <v>150000</v>
      </c>
      <c r="D46" s="1"/>
      <c r="E46" s="1"/>
      <c r="F46" s="1"/>
      <c r="G46" s="1"/>
      <c r="H46" s="1"/>
    </row>
    <row r="47" spans="1:8" ht="23.05" customHeight="1">
      <c r="A47" s="1">
        <v>21</v>
      </c>
      <c r="B47" s="1">
        <f>IF('Savings Inputs'!$B$14,'Monthly Savings Tracker'!F27,"")</f>
        <v>113000</v>
      </c>
      <c r="C47" s="1">
        <f>Dashboard!B7</f>
        <v>150000</v>
      </c>
      <c r="D47" s="1"/>
      <c r="E47" s="1"/>
      <c r="F47" s="1"/>
      <c r="G47" s="1"/>
      <c r="H47" s="1"/>
    </row>
    <row r="48" spans="1:8" ht="23.05" customHeight="1">
      <c r="A48" s="1">
        <v>22</v>
      </c>
      <c r="B48" s="1">
        <f>IF('Savings Inputs'!$B$14,'Monthly Savings Tracker'!F28,"")</f>
        <v>116000</v>
      </c>
      <c r="C48" s="1">
        <f>Dashboard!B7</f>
        <v>150000</v>
      </c>
      <c r="D48" s="1"/>
      <c r="E48" s="1"/>
      <c r="F48" s="1"/>
      <c r="G48" s="1"/>
      <c r="H48" s="1"/>
    </row>
    <row r="49" spans="1:8" ht="23.05" customHeight="1">
      <c r="A49" s="1">
        <v>23</v>
      </c>
      <c r="B49" s="1">
        <f>IF('Savings Inputs'!$B$14,'Monthly Savings Tracker'!F29,"")</f>
        <v>119000</v>
      </c>
      <c r="C49" s="1">
        <f>Dashboard!B7</f>
        <v>150000</v>
      </c>
      <c r="D49" s="1"/>
      <c r="E49" s="1"/>
      <c r="F49" s="1"/>
      <c r="G49" s="1"/>
      <c r="H49" s="1"/>
    </row>
    <row r="50" spans="1:8" ht="23.05" customHeight="1">
      <c r="A50" s="1">
        <v>24</v>
      </c>
      <c r="B50" s="1">
        <f>IF('Savings Inputs'!$B$14,'Monthly Savings Tracker'!F30,"")</f>
        <v>122000</v>
      </c>
      <c r="C50" s="1">
        <f>Dashboard!B7</f>
        <v>150000</v>
      </c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1">
    <mergeCell ref="A1:H2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D6A4F"/>
    <pageSetUpPr fitToPage="1"/>
  </sheetPr>
  <dimension ref="A1:H70"/>
  <sheetViews>
    <sheetView showGridLines="0" zoomScaleNormal="100" workbookViewId="0">
      <selection sqref="A1:H2"/>
    </sheetView>
  </sheetViews>
  <sheetFormatPr defaultRowHeight="14.15"/>
  <cols>
    <col min="1" max="1" width="36" customWidth="1"/>
    <col min="2" max="8" width="17" customWidth="1"/>
  </cols>
  <sheetData>
    <row r="1" spans="1:8" ht="18" customHeight="1">
      <c r="A1" s="21" t="s">
        <v>51</v>
      </c>
      <c r="B1" s="21"/>
      <c r="C1" s="21"/>
      <c r="D1" s="21"/>
      <c r="E1" s="21"/>
      <c r="F1" s="21"/>
      <c r="G1" s="21"/>
      <c r="H1" s="21"/>
    </row>
    <row r="2" spans="1:8" ht="18" customHeight="1">
      <c r="A2" s="21"/>
      <c r="B2" s="21"/>
      <c r="C2" s="21"/>
      <c r="D2" s="21"/>
      <c r="E2" s="21"/>
      <c r="F2" s="21"/>
      <c r="G2" s="21"/>
      <c r="H2" s="21"/>
    </row>
    <row r="3" spans="1:8" ht="4" customHeight="1">
      <c r="A3" s="5"/>
      <c r="B3" s="5"/>
      <c r="C3" s="5"/>
      <c r="D3" s="5"/>
      <c r="E3" s="5"/>
      <c r="F3" s="5"/>
      <c r="G3" s="5"/>
      <c r="H3" s="5"/>
    </row>
    <row r="4" spans="1:8" ht="4" customHeight="1">
      <c r="A4" s="5"/>
      <c r="B4" s="5"/>
      <c r="C4" s="5"/>
      <c r="D4" s="5"/>
      <c r="E4" s="5"/>
      <c r="F4" s="5"/>
      <c r="G4" s="5"/>
      <c r="H4" s="5"/>
    </row>
    <row r="5" spans="1:8" ht="18" customHeight="1">
      <c r="A5" s="23" t="s">
        <v>52</v>
      </c>
      <c r="B5" s="23"/>
      <c r="C5" s="23"/>
      <c r="D5" s="23"/>
      <c r="E5" s="23"/>
      <c r="F5" s="23"/>
      <c r="G5" s="23"/>
      <c r="H5" s="23"/>
    </row>
    <row r="6" spans="1:8" ht="18" customHeight="1">
      <c r="A6" s="23"/>
      <c r="B6" s="23"/>
      <c r="C6" s="23"/>
      <c r="D6" s="23"/>
      <c r="E6" s="23"/>
      <c r="F6" s="23"/>
      <c r="G6" s="23"/>
      <c r="H6" s="23"/>
    </row>
    <row r="7" spans="1:8" ht="18" customHeight="1">
      <c r="A7" s="23"/>
      <c r="B7" s="23"/>
      <c r="C7" s="23"/>
      <c r="D7" s="23"/>
      <c r="E7" s="23"/>
      <c r="F7" s="23"/>
      <c r="G7" s="23"/>
      <c r="H7" s="23"/>
    </row>
    <row r="8" spans="1:8" ht="4" customHeight="1">
      <c r="A8" s="5"/>
      <c r="B8" s="5"/>
      <c r="C8" s="5"/>
      <c r="D8" s="5"/>
      <c r="E8" s="5"/>
      <c r="F8" s="5"/>
      <c r="G8" s="5"/>
      <c r="H8" s="5"/>
    </row>
    <row r="9" spans="1:8" ht="4" customHeight="1">
      <c r="A9" s="5"/>
      <c r="B9" s="5"/>
      <c r="C9" s="5"/>
      <c r="D9" s="5"/>
      <c r="E9" s="5"/>
      <c r="F9" s="5"/>
      <c r="G9" s="5"/>
      <c r="H9" s="5"/>
    </row>
    <row r="10" spans="1:8" ht="18" customHeight="1">
      <c r="A10" s="23" t="s">
        <v>53</v>
      </c>
      <c r="B10" s="23"/>
      <c r="C10" s="23"/>
      <c r="D10" s="23"/>
      <c r="E10" s="23"/>
      <c r="F10" s="23"/>
      <c r="G10" s="23"/>
      <c r="H10" s="23"/>
    </row>
    <row r="11" spans="1:8" ht="18" customHeight="1">
      <c r="A11" s="23"/>
      <c r="B11" s="23"/>
      <c r="C11" s="23"/>
      <c r="D11" s="23"/>
      <c r="E11" s="23"/>
      <c r="F11" s="23"/>
      <c r="G11" s="23"/>
      <c r="H11" s="23"/>
    </row>
    <row r="12" spans="1:8" ht="18" customHeight="1">
      <c r="A12" s="23"/>
      <c r="B12" s="23"/>
      <c r="C12" s="23"/>
      <c r="D12" s="23"/>
      <c r="E12" s="23"/>
      <c r="F12" s="23"/>
      <c r="G12" s="23"/>
      <c r="H12" s="23"/>
    </row>
    <row r="13" spans="1:8" ht="4" customHeight="1">
      <c r="A13" s="5"/>
      <c r="B13" s="5"/>
      <c r="C13" s="5"/>
      <c r="D13" s="5"/>
      <c r="E13" s="5"/>
      <c r="F13" s="5"/>
      <c r="G13" s="5"/>
      <c r="H13" s="5"/>
    </row>
    <row r="14" spans="1:8" ht="4" customHeight="1">
      <c r="A14" s="5"/>
      <c r="B14" s="5"/>
      <c r="C14" s="5"/>
      <c r="D14" s="5"/>
      <c r="E14" s="5"/>
      <c r="F14" s="5"/>
      <c r="G14" s="5"/>
      <c r="H14" s="5"/>
    </row>
    <row r="15" spans="1:8" ht="18" customHeight="1">
      <c r="A15" s="23" t="s">
        <v>54</v>
      </c>
      <c r="B15" s="23"/>
      <c r="C15" s="23"/>
      <c r="D15" s="23"/>
      <c r="E15" s="23"/>
      <c r="F15" s="23"/>
      <c r="G15" s="23"/>
      <c r="H15" s="23"/>
    </row>
    <row r="16" spans="1:8" ht="18" customHeight="1">
      <c r="A16" s="23"/>
      <c r="B16" s="23"/>
      <c r="C16" s="23"/>
      <c r="D16" s="23"/>
      <c r="E16" s="23"/>
      <c r="F16" s="23"/>
      <c r="G16" s="23"/>
      <c r="H16" s="23"/>
    </row>
    <row r="17" spans="1:8" ht="18" customHeight="1">
      <c r="A17" s="23"/>
      <c r="B17" s="23"/>
      <c r="C17" s="23"/>
      <c r="D17" s="23"/>
      <c r="E17" s="23"/>
      <c r="F17" s="23"/>
      <c r="G17" s="23"/>
      <c r="H17" s="23"/>
    </row>
    <row r="18" spans="1:8" ht="4" customHeight="1">
      <c r="A18" s="5"/>
      <c r="B18" s="5"/>
      <c r="C18" s="5"/>
      <c r="D18" s="5"/>
      <c r="E18" s="5"/>
      <c r="F18" s="5"/>
      <c r="G18" s="5"/>
      <c r="H18" s="5"/>
    </row>
    <row r="19" spans="1:8" ht="4" customHeight="1">
      <c r="A19" s="5"/>
      <c r="B19" s="5"/>
      <c r="C19" s="5"/>
      <c r="D19" s="5"/>
      <c r="E19" s="5"/>
      <c r="F19" s="5"/>
      <c r="G19" s="5"/>
      <c r="H19" s="5"/>
    </row>
    <row r="20" spans="1:8" ht="18" customHeight="1">
      <c r="A20" s="23" t="s">
        <v>55</v>
      </c>
      <c r="B20" s="23"/>
      <c r="C20" s="23"/>
      <c r="D20" s="23"/>
      <c r="E20" s="23"/>
      <c r="F20" s="23"/>
      <c r="G20" s="23"/>
      <c r="H20" s="23"/>
    </row>
    <row r="21" spans="1:8" ht="18" customHeight="1">
      <c r="A21" s="23"/>
      <c r="B21" s="23"/>
      <c r="C21" s="23"/>
      <c r="D21" s="23"/>
      <c r="E21" s="23"/>
      <c r="F21" s="23"/>
      <c r="G21" s="23"/>
      <c r="H21" s="23"/>
    </row>
    <row r="22" spans="1:8" ht="18" customHeight="1">
      <c r="A22" s="23"/>
      <c r="B22" s="23"/>
      <c r="C22" s="23"/>
      <c r="D22" s="23"/>
      <c r="E22" s="23"/>
      <c r="F22" s="23"/>
      <c r="G22" s="23"/>
      <c r="H22" s="23"/>
    </row>
    <row r="23" spans="1:8" ht="4" customHeight="1">
      <c r="A23" s="5"/>
      <c r="B23" s="5"/>
      <c r="C23" s="5"/>
      <c r="D23" s="5"/>
      <c r="E23" s="5"/>
      <c r="F23" s="5"/>
      <c r="G23" s="5"/>
      <c r="H23" s="5"/>
    </row>
    <row r="24" spans="1:8" ht="4" customHeight="1">
      <c r="A24" s="5"/>
      <c r="B24" s="5"/>
      <c r="C24" s="5"/>
      <c r="D24" s="5"/>
      <c r="E24" s="5"/>
      <c r="F24" s="5"/>
      <c r="G24" s="5"/>
      <c r="H24" s="5"/>
    </row>
    <row r="25" spans="1:8" ht="4" customHeight="1">
      <c r="A25" s="5"/>
      <c r="B25" s="5"/>
      <c r="C25" s="5"/>
      <c r="D25" s="5"/>
      <c r="E25" s="5"/>
      <c r="F25" s="5"/>
      <c r="G25" s="5"/>
      <c r="H25" s="5"/>
    </row>
    <row r="26" spans="1:8" ht="18" customHeight="1">
      <c r="A26" s="23" t="s">
        <v>56</v>
      </c>
      <c r="B26" s="23"/>
      <c r="C26" s="23"/>
      <c r="D26" s="23"/>
      <c r="E26" s="23"/>
      <c r="F26" s="23"/>
      <c r="G26" s="23"/>
      <c r="H26" s="23"/>
    </row>
    <row r="27" spans="1:8" ht="18" customHeight="1">
      <c r="A27" s="23"/>
      <c r="B27" s="23"/>
      <c r="C27" s="23"/>
      <c r="D27" s="23"/>
      <c r="E27" s="23"/>
      <c r="F27" s="23"/>
      <c r="G27" s="23"/>
      <c r="H27" s="23"/>
    </row>
    <row r="28" spans="1:8" ht="18" customHeight="1">
      <c r="A28" s="23"/>
      <c r="B28" s="23"/>
      <c r="C28" s="23"/>
      <c r="D28" s="23"/>
      <c r="E28" s="23"/>
      <c r="F28" s="23"/>
      <c r="G28" s="23"/>
      <c r="H28" s="23"/>
    </row>
    <row r="29" spans="1:8" ht="4" customHeight="1">
      <c r="A29" s="5"/>
      <c r="B29" s="5"/>
      <c r="C29" s="5"/>
      <c r="D29" s="5"/>
      <c r="E29" s="5"/>
      <c r="F29" s="5"/>
      <c r="G29" s="5"/>
      <c r="H29" s="5"/>
    </row>
    <row r="30" spans="1:8" ht="4" customHeight="1">
      <c r="A30" s="5"/>
      <c r="B30" s="5"/>
      <c r="C30" s="5"/>
      <c r="D30" s="5"/>
      <c r="E30" s="5"/>
      <c r="F30" s="5"/>
      <c r="G30" s="5"/>
      <c r="H30" s="5"/>
    </row>
    <row r="31" spans="1:8" ht="18" customHeight="1">
      <c r="A31" s="23" t="s">
        <v>57</v>
      </c>
      <c r="B31" s="23"/>
      <c r="C31" s="23"/>
      <c r="D31" s="23"/>
      <c r="E31" s="23"/>
      <c r="F31" s="23"/>
      <c r="G31" s="23"/>
      <c r="H31" s="23"/>
    </row>
    <row r="32" spans="1:8" ht="18" customHeight="1">
      <c r="A32" s="23"/>
      <c r="B32" s="23"/>
      <c r="C32" s="23"/>
      <c r="D32" s="23"/>
      <c r="E32" s="23"/>
      <c r="F32" s="23"/>
      <c r="G32" s="23"/>
      <c r="H32" s="23"/>
    </row>
    <row r="33" spans="1:8" ht="18" customHeight="1">
      <c r="A33" s="23"/>
      <c r="B33" s="23"/>
      <c r="C33" s="23"/>
      <c r="D33" s="23"/>
      <c r="E33" s="23"/>
      <c r="F33" s="23"/>
      <c r="G33" s="23"/>
      <c r="H33" s="23"/>
    </row>
    <row r="34" spans="1:8" ht="4" customHeight="1">
      <c r="A34" s="5"/>
      <c r="B34" s="5"/>
      <c r="C34" s="5"/>
      <c r="D34" s="5"/>
      <c r="E34" s="5"/>
      <c r="F34" s="5"/>
      <c r="G34" s="5"/>
      <c r="H34" s="5"/>
    </row>
    <row r="35" spans="1:8" ht="4" customHeight="1">
      <c r="A35" s="5"/>
      <c r="B35" s="5"/>
      <c r="C35" s="5"/>
      <c r="D35" s="5"/>
      <c r="E35" s="5"/>
      <c r="F35" s="5"/>
      <c r="G35" s="5"/>
      <c r="H35" s="5"/>
    </row>
    <row r="36" spans="1:8" ht="18" customHeight="1">
      <c r="A36" s="5"/>
      <c r="B36" s="5"/>
      <c r="C36" s="5"/>
      <c r="D36" s="5"/>
      <c r="E36" s="5"/>
      <c r="F36" s="5"/>
      <c r="G36" s="5"/>
      <c r="H36" s="5"/>
    </row>
    <row r="37" spans="1:8" ht="18" customHeight="1">
      <c r="A37" s="5"/>
      <c r="B37" s="5"/>
      <c r="C37" s="5"/>
      <c r="D37" s="5"/>
      <c r="E37" s="5"/>
      <c r="F37" s="5"/>
      <c r="G37" s="5"/>
      <c r="H37" s="5"/>
    </row>
    <row r="38" spans="1:8" ht="18" customHeight="1">
      <c r="A38" s="5"/>
      <c r="B38" s="5"/>
      <c r="C38" s="5"/>
      <c r="D38" s="5"/>
      <c r="E38" s="5"/>
      <c r="F38" s="5"/>
      <c r="G38" s="5"/>
      <c r="H38" s="5"/>
    </row>
    <row r="39" spans="1:8" ht="4" customHeight="1">
      <c r="A39" s="5"/>
      <c r="B39" s="5"/>
      <c r="C39" s="5"/>
      <c r="D39" s="5"/>
      <c r="E39" s="5"/>
      <c r="F39" s="5"/>
      <c r="G39" s="5"/>
      <c r="H39" s="5"/>
    </row>
    <row r="40" spans="1:8" ht="23.05" customHeight="1">
      <c r="A40" s="1"/>
      <c r="B40" s="1"/>
      <c r="C40" s="1"/>
      <c r="D40" s="1"/>
      <c r="E40" s="1"/>
      <c r="F40" s="1"/>
      <c r="G40" s="1"/>
      <c r="H40" s="1"/>
    </row>
    <row r="41" spans="1:8" ht="23.05" customHeight="1">
      <c r="A41" s="1"/>
      <c r="B41" s="1"/>
      <c r="C41" s="1"/>
      <c r="D41" s="1"/>
      <c r="E41" s="1"/>
      <c r="F41" s="1"/>
      <c r="G41" s="1"/>
      <c r="H41" s="1"/>
    </row>
    <row r="42" spans="1:8" ht="23.05" customHeight="1">
      <c r="A42" s="1"/>
      <c r="B42" s="1"/>
      <c r="C42" s="1"/>
      <c r="D42" s="1"/>
      <c r="E42" s="1"/>
      <c r="F42" s="1"/>
      <c r="G42" s="1"/>
      <c r="H42" s="1"/>
    </row>
    <row r="43" spans="1:8" ht="23.05" customHeight="1">
      <c r="A43" s="1"/>
      <c r="B43" s="1"/>
      <c r="C43" s="1"/>
      <c r="D43" s="1"/>
      <c r="E43" s="1"/>
      <c r="F43" s="1"/>
      <c r="G43" s="1"/>
      <c r="H43" s="1"/>
    </row>
    <row r="44" spans="1:8" ht="23.05" customHeight="1">
      <c r="A44" s="1"/>
      <c r="B44" s="1"/>
      <c r="C44" s="1"/>
      <c r="D44" s="1"/>
      <c r="E44" s="1"/>
      <c r="F44" s="1"/>
      <c r="G44" s="1"/>
      <c r="H44" s="1"/>
    </row>
    <row r="45" spans="1:8" ht="23.05" customHeight="1">
      <c r="A45" s="1"/>
      <c r="B45" s="1"/>
      <c r="C45" s="1"/>
      <c r="D45" s="1"/>
      <c r="E45" s="1"/>
      <c r="F45" s="1"/>
      <c r="G45" s="1"/>
      <c r="H45" s="1"/>
    </row>
    <row r="46" spans="1:8" ht="23.05" customHeight="1">
      <c r="A46" s="1"/>
      <c r="B46" s="1"/>
      <c r="C46" s="1"/>
      <c r="D46" s="1"/>
      <c r="E46" s="1"/>
      <c r="F46" s="1"/>
      <c r="G46" s="1"/>
      <c r="H46" s="1"/>
    </row>
    <row r="47" spans="1:8" ht="23.05" customHeight="1">
      <c r="A47" s="1"/>
      <c r="B47" s="1"/>
      <c r="C47" s="1"/>
      <c r="D47" s="1"/>
      <c r="E47" s="1"/>
      <c r="F47" s="1"/>
      <c r="G47" s="1"/>
      <c r="H47" s="1"/>
    </row>
    <row r="48" spans="1:8" ht="23.05" customHeight="1">
      <c r="A48" s="1"/>
      <c r="B48" s="1"/>
      <c r="C48" s="1"/>
      <c r="D48" s="1"/>
      <c r="E48" s="1"/>
      <c r="F48" s="1"/>
      <c r="G48" s="1"/>
      <c r="H48" s="1"/>
    </row>
    <row r="49" spans="1:8" ht="23.05" customHeight="1">
      <c r="A49" s="1"/>
      <c r="B49" s="1"/>
      <c r="C49" s="1"/>
      <c r="D49" s="1"/>
      <c r="E49" s="1"/>
      <c r="F49" s="1"/>
      <c r="G49" s="1"/>
      <c r="H49" s="1"/>
    </row>
    <row r="50" spans="1:8" ht="23.05" customHeight="1">
      <c r="A50" s="1"/>
      <c r="B50" s="1"/>
      <c r="C50" s="1"/>
      <c r="D50" s="1"/>
      <c r="E50" s="1"/>
      <c r="F50" s="1"/>
      <c r="G50" s="1"/>
      <c r="H50" s="1"/>
    </row>
    <row r="51" spans="1:8" ht="23.05" customHeight="1">
      <c r="A51" s="1"/>
      <c r="B51" s="1"/>
      <c r="C51" s="1"/>
      <c r="D51" s="1"/>
      <c r="E51" s="1"/>
      <c r="F51" s="1"/>
      <c r="G51" s="1"/>
      <c r="H51" s="1"/>
    </row>
    <row r="52" spans="1:8" ht="23.05" customHeight="1">
      <c r="A52" s="1"/>
      <c r="B52" s="1"/>
      <c r="C52" s="1"/>
      <c r="D52" s="1"/>
      <c r="E52" s="1"/>
      <c r="F52" s="1"/>
      <c r="G52" s="1"/>
      <c r="H52" s="1"/>
    </row>
    <row r="53" spans="1:8" ht="23.05" customHeight="1">
      <c r="A53" s="1"/>
      <c r="B53" s="1"/>
      <c r="C53" s="1"/>
      <c r="D53" s="1"/>
      <c r="E53" s="1"/>
      <c r="F53" s="1"/>
      <c r="G53" s="1"/>
      <c r="H53" s="1"/>
    </row>
    <row r="54" spans="1:8" ht="23.05" customHeight="1">
      <c r="A54" s="1"/>
      <c r="B54" s="1"/>
      <c r="C54" s="1"/>
      <c r="D54" s="1"/>
      <c r="E54" s="1"/>
      <c r="F54" s="1"/>
      <c r="G54" s="1"/>
      <c r="H54" s="1"/>
    </row>
    <row r="55" spans="1:8" ht="23.05" customHeight="1">
      <c r="A55" s="1"/>
      <c r="B55" s="1"/>
      <c r="C55" s="1"/>
      <c r="D55" s="1"/>
      <c r="E55" s="1"/>
      <c r="F55" s="1"/>
      <c r="G55" s="1"/>
      <c r="H55" s="1"/>
    </row>
    <row r="56" spans="1:8" ht="23.05" customHeight="1">
      <c r="A56" s="1"/>
      <c r="B56" s="1"/>
      <c r="C56" s="1"/>
      <c r="D56" s="1"/>
      <c r="E56" s="1"/>
      <c r="F56" s="1"/>
      <c r="G56" s="1"/>
      <c r="H56" s="1"/>
    </row>
    <row r="57" spans="1:8" ht="23.05" customHeight="1">
      <c r="A57" s="1"/>
      <c r="B57" s="1"/>
      <c r="C57" s="1"/>
      <c r="D57" s="1"/>
      <c r="E57" s="1"/>
      <c r="F57" s="1"/>
      <c r="G57" s="1"/>
      <c r="H57" s="1"/>
    </row>
    <row r="58" spans="1:8" ht="23.05" customHeight="1">
      <c r="A58" s="1"/>
      <c r="B58" s="1"/>
      <c r="C58" s="1"/>
      <c r="D58" s="1"/>
      <c r="E58" s="1"/>
      <c r="F58" s="1"/>
      <c r="G58" s="1"/>
      <c r="H58" s="1"/>
    </row>
    <row r="59" spans="1:8" ht="23.05" customHeight="1">
      <c r="A59" s="1"/>
      <c r="B59" s="1"/>
      <c r="C59" s="1"/>
      <c r="D59" s="1"/>
      <c r="E59" s="1"/>
      <c r="F59" s="1"/>
      <c r="G59" s="1"/>
      <c r="H59" s="1"/>
    </row>
    <row r="60" spans="1:8" ht="23.05" customHeight="1">
      <c r="A60" s="1"/>
      <c r="B60" s="1"/>
      <c r="C60" s="1"/>
      <c r="D60" s="1"/>
      <c r="E60" s="1"/>
      <c r="F60" s="1"/>
      <c r="G60" s="1"/>
      <c r="H60" s="1"/>
    </row>
    <row r="61" spans="1:8" ht="23.05" customHeight="1">
      <c r="A61" s="1"/>
      <c r="B61" s="1"/>
      <c r="C61" s="1"/>
      <c r="D61" s="1"/>
      <c r="E61" s="1"/>
      <c r="F61" s="1"/>
      <c r="G61" s="1"/>
      <c r="H61" s="1"/>
    </row>
    <row r="62" spans="1:8" ht="23.05" customHeight="1">
      <c r="A62" s="1"/>
      <c r="B62" s="1"/>
      <c r="C62" s="1"/>
      <c r="D62" s="1"/>
      <c r="E62" s="1"/>
      <c r="F62" s="1"/>
      <c r="G62" s="1"/>
      <c r="H62" s="1"/>
    </row>
    <row r="63" spans="1:8" ht="23.05" customHeight="1">
      <c r="A63" s="1"/>
      <c r="B63" s="1"/>
      <c r="C63" s="1"/>
      <c r="D63" s="1"/>
      <c r="E63" s="1"/>
      <c r="F63" s="1"/>
      <c r="G63" s="1"/>
      <c r="H63" s="1"/>
    </row>
    <row r="64" spans="1:8" ht="23.05" customHeight="1">
      <c r="A64" s="1"/>
      <c r="B64" s="1"/>
      <c r="C64" s="1"/>
      <c r="D64" s="1"/>
      <c r="E64" s="1"/>
      <c r="F64" s="1"/>
      <c r="G64" s="1"/>
      <c r="H64" s="1"/>
    </row>
    <row r="65" spans="1:8" ht="23.05" customHeight="1">
      <c r="A65" s="1"/>
      <c r="B65" s="1"/>
      <c r="C65" s="1"/>
      <c r="D65" s="1"/>
      <c r="E65" s="1"/>
      <c r="F65" s="1"/>
      <c r="G65" s="1"/>
      <c r="H65" s="1"/>
    </row>
    <row r="66" spans="1:8" ht="23.05" customHeight="1">
      <c r="A66" s="1"/>
      <c r="B66" s="1"/>
      <c r="C66" s="1"/>
      <c r="D66" s="1"/>
      <c r="E66" s="1"/>
      <c r="F66" s="1"/>
      <c r="G66" s="1"/>
      <c r="H66" s="1"/>
    </row>
    <row r="67" spans="1:8" ht="23.05" customHeight="1">
      <c r="A67" s="1"/>
      <c r="B67" s="1"/>
      <c r="C67" s="1"/>
      <c r="D67" s="1"/>
      <c r="E67" s="1"/>
      <c r="F67" s="1"/>
      <c r="G67" s="1"/>
      <c r="H67" s="1"/>
    </row>
    <row r="68" spans="1:8" ht="23.05" customHeight="1">
      <c r="A68" s="1"/>
      <c r="B68" s="1"/>
      <c r="C68" s="1"/>
      <c r="D68" s="1"/>
      <c r="E68" s="1"/>
      <c r="F68" s="1"/>
      <c r="G68" s="1"/>
      <c r="H68" s="1"/>
    </row>
    <row r="69" spans="1:8" ht="23.05" customHeight="1">
      <c r="A69" s="1"/>
      <c r="B69" s="1"/>
      <c r="C69" s="1"/>
      <c r="D69" s="1"/>
      <c r="E69" s="1"/>
      <c r="F69" s="1"/>
      <c r="G69" s="1"/>
      <c r="H69" s="1"/>
    </row>
    <row r="70" spans="1:8" ht="23.05" customHeight="1">
      <c r="A70" s="1"/>
      <c r="B70" s="1"/>
      <c r="C70" s="1"/>
      <c r="D70" s="1"/>
      <c r="E70" s="1"/>
      <c r="F70" s="1"/>
      <c r="G70" s="1"/>
      <c r="H70" s="1"/>
    </row>
  </sheetData>
  <sheetProtection sheet="1" objects="1" scenarios="1"/>
  <mergeCells count="7">
    <mergeCell ref="A26:H28"/>
    <mergeCell ref="A31:H33"/>
    <mergeCell ref="A1:H2"/>
    <mergeCell ref="A5:H7"/>
    <mergeCell ref="A10:H12"/>
    <mergeCell ref="A15:H17"/>
    <mergeCell ref="A20:H22"/>
  </mergeCells>
  <pageMargins left="0.39370078740157477" right="0.39370078740157477" top="0.39370078740157477" bottom="0.59055118110236215" header="0.3" footer="0.19685039370078738"/>
  <pageSetup paperSize="9" scale="82" orientation="landscape" r:id="rId1"/>
  <headerFooter>
    <oddFooter>&amp;CCalcy | Page &amp;P&amp;Rcalcy.com.au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Dashboard</vt:lpstr>
      <vt:lpstr>Savings Inputs</vt:lpstr>
      <vt:lpstr>Monthly Savings Tracker</vt:lpstr>
      <vt:lpstr>Milestones</vt:lpstr>
      <vt:lpstr>Charts</vt:lpstr>
      <vt:lpstr>Instructions</vt:lpstr>
      <vt:lpstr>Charts!Print_Area</vt:lpstr>
      <vt:lpstr>Dashboard!Print_Area</vt:lpstr>
      <vt:lpstr>Instructions!Print_Area</vt:lpstr>
      <vt:lpstr>Milestones!Print_Area</vt:lpstr>
      <vt:lpstr>'Savings Inputs'!Print_Area</vt:lpstr>
      <vt:lpstr>'Monthly Savings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cp:lastPrinted>2026-10-17T07:43:28Z</cp:lastPrinted>
  <dcterms:modified xsi:type="dcterms:W3CDTF">2026-10-17T07:43:28Z</dcterms:modified>
</cp:coreProperties>
</file>